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codeName="ThisWorkbook" hidePivotFieldList="1"/>
  <mc:AlternateContent xmlns:mc="http://schemas.openxmlformats.org/markup-compatibility/2006">
    <mc:Choice Requires="x15">
      <x15ac:absPath xmlns:x15ac="http://schemas.microsoft.com/office/spreadsheetml/2010/11/ac" url="M:\JOB Numbers - Environmental\2021 Jobs\213316 - 16-18 Oatlands Drive, Weybridge\Reports\BNG\"/>
    </mc:Choice>
  </mc:AlternateContent>
  <xr:revisionPtr revIDLastSave="0" documentId="13_ncr:1_{A0D4C8A1-485F-46F9-8B85-045AFCF78897}" xr6:coauthVersionLast="47" xr6:coauthVersionMax="47" xr10:uidLastSave="{00000000-0000-0000-0000-000000000000}"/>
  <bookViews>
    <workbookView xWindow="2880" yWindow="75" windowWidth="14445" windowHeight="17370" tabRatio="741" firstSheet="3"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39" i="22"/>
  <c r="I53" i="22"/>
  <c r="I46" i="22"/>
  <c r="AL19" i="59" a="1"/>
  <c r="AL19" i="59" s="1"/>
  <c r="E20" i="50" s="1"/>
  <c r="I89" i="22"/>
  <c r="I49" i="22"/>
  <c r="I33" i="22"/>
  <c r="I24" i="22"/>
  <c r="I92" i="22"/>
  <c r="I71" i="22"/>
  <c r="I40" i="22"/>
  <c r="AC15" i="11"/>
  <c r="AC13" i="11"/>
  <c r="Q13" i="11" s="1"/>
  <c r="X13" i="11" s="1"/>
  <c r="AC12" i="11"/>
  <c r="Q12" i="11" s="1"/>
  <c r="F29" i="22" s="1"/>
  <c r="I54" i="22" l="1"/>
  <c r="I78"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49" i="32" l="1"/>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80" i="57" l="1"/>
  <c r="AA180" i="57" s="1"/>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F180" i="57" l="1"/>
  <c r="AK12" i="50"/>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D24" i="36" l="1"/>
  <c r="F54" i="22"/>
  <c r="F78" i="22"/>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<sst xmlns="http://schemas.openxmlformats.org/spreadsheetml/2006/main" count="6897" uniqueCount="1559">
  <si>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</si>
  <si>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</si>
  <si>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</si>
  <si>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</si>
  <si>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</si>
  <si>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</si>
  <si>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</si>
  <si>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</si>
  <si>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</si>
  <si>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</si>
  <si>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</si>
  <si>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</si>
  <si>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</si>
  <si>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</si>
  <si>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</si>
  <si>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</si>
  <si>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</si>
  <si>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</si>
  <si>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</si>
  <si>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</si>
  <si>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</si>
  <si>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</si>
  <si>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</si>
  <si>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</si>
  <si>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</si>
  <si>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</si>
  <si>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</si>
  <si>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</si>
  <si>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</si>
  <si>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</si>
  <si>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</si>
  <si>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</si>
  <si>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</si>
  <si>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</si>
  <si>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</si>
  <si>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</si>
  <si>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</si>
  <si>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</si>
  <si>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</si>
  <si>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</si>
  <si>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</si>
  <si>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</si>
  <si>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</si>
  <si>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</si>
  <si>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</si>
  <si>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</si>
  <si>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</si>
  <si>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</si>
  <si>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</si>
  <si>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</si>
  <si>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</si>
  <si>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</si>
  <si>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</si>
  <si>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</si>
  <si>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</si>
  <si>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</si>
  <si>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</si>
  <si>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</si>
  <si>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</si>
  <si>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</si>
  <si>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</si>
  <si>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</si>
  <si>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</si>
  <si>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</si>
  <si>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</si>
  <si>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</si>
  <si>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</si>
  <si>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</si>
  <si>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</si>
  <si>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</si>
  <si>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</si>
  <si>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</si>
  <si>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</si>
  <si>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</si>
  <si>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</si>
  <si>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</si>
  <si>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</si>
  <si>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</si>
  <si>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</si>
  <si>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</si>
  <si>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</si>
  <si>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</si>
  <si>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</si>
  <si>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</si>
  <si>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</si>
  <si>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</si>
  <si>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</si>
  <si>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</si>
  <si>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</si>
  <si>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</si>
  <si>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</si>
  <si>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</si>
  <si>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</si>
  <si>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</si>
  <si>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</si>
  <si>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</si>
  <si>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</si>
  <si>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</si>
  <si>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</si>
  <si>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</si>
  <si>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</si>
  <si>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</si>
  <si>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</si>
  <si>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</si>
  <si>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</si>
  <si>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</si>
  <si>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</si>
  <si>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</si>
  <si>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</si>
  <si>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</si>
  <si>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</si>
  <si>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</si>
  <si>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</si>
  <si>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</si>
  <si>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</si>
  <si>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</si>
  <si>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</si>
  <si>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</si>
  <si>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</si>
  <si>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</si>
  <si>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</si>
  <si>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</si>
  <si>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</si>
  <si>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</si>
  <si>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</si>
  <si>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</si>
  <si>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</si>
  <si>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</si>
  <si>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</si>
  <si>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</si>
  <si>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</si>
  <si>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</si>
  <si>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</si>
  <si>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</si>
  <si>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</si>
  <si>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</si>
  <si>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</si>
  <si>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</si>
  <si>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</si>
  <si>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</si>
  <si>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</si>
  <si>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</si>
  <si>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</si>
  <si>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</si>
  <si>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</si>
  <si>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</si>
  <si>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</si>
  <si>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</si>
  <si>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</si>
  <si>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</si>
  <si>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</si>
  <si>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</si>
  <si>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</si>
  <si>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</si>
  <si>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</si>
  <si>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</si>
  <si>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</si>
  <si>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</si>
  <si>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</si>
  <si>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</si>
  <si>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</si>
  <si>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</si>
  <si>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</si>
  <si>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</si>
  <si>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</si>
  <si>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</si>
  <si>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</si>
  <si>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</si>
  <si>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</si>
  <si>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</si>
  <si>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</si>
  <si>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</si>
  <si>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</si>
  <si>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</si>
  <si>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</si>
  <si>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</si>
  <si>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</si>
  <si>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</si>
  <si>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</si>
  <si>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</si>
  <si>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</si>
  <si>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</si>
  <si>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</si>
  <si>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</si>
  <si>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</si>
  <si>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</si>
  <si>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</si>
  <si>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</si>
  <si>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</si>
  <si>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</si>
  <si>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</si>
  <si>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</si>
  <si>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</si>
  <si>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</si>
  <si>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</si>
  <si>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</si>
  <si>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</si>
  <si>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</si>
  <si>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</si>
  <si>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</si>
  <si>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</si>
  <si>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</si>
  <si>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</si>
  <si>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</si>
  <si>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</si>
  <si>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</si>
  <si>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</si>
  <si>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</si>
  <si>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</si>
  <si>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</si>
  <si>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</si>
  <si>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</si>
  <si>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</si>
  <si>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</si>
  <si>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</si>
  <si>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</si>
  <si>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</si>
  <si>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</si>
  <si>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</si>
  <si>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</si>
  <si>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</si>
  <si>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</si>
  <si>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</si>
  <si>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</si>
  <si>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</si>
  <si>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</si>
  <si>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</si>
  <si>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</si>
  <si>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</si>
  <si>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</si>
  <si>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</si>
  <si>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</si>
  <si>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</si>
  <si>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</si>
  <si>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</si>
  <si>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</si>
  <si>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</si>
  <si>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</si>
  <si>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</si>
  <si>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</si>
  <si>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</si>
  <si>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</si>
  <si>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</si>
  <si>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</si>
  <si>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</si>
  <si>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</si>
  <si>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</si>
  <si>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</si>
  <si>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</si>
  <si>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</si>
  <si>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</si>
  <si>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</si>
  <si>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</si>
  <si>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</si>
  <si>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</si>
  <si>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</si>
  <si>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</si>
  <si>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</si>
  <si>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</si>
  <si>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</si>
  <si>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</si>
  <si>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</si>
  <si>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</si>
  <si>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</si>
  <si>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</si>
  <si>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</si>
  <si>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</si>
  <si>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</si>
  <si>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</si>
  <si>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</si>
  <si>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</si>
  <si>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</si>
  <si>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</si>
  <si>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</si>
  <si>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</si>
  <si>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</si>
  <si>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</si>
  <si>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</si>
  <si>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</si>
  <si>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</si>
  <si>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</si>
  <si>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</si>
  <si>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</si>
  <si>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</si>
  <si>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</si>
  <si>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</si>
  <si>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</si>
  <si>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</si>
  <si>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</si>
  <si>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</si>
  <si>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</si>
  <si>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</si>
  <si>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</si>
  <si>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</si>
  <si>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</si>
  <si>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</si>
  <si>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</si>
  <si>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</si>
  <si>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</si>
  <si>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</si>
  <si>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</si>
  <si>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</si>
  <si>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</si>
  <si>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</si>
  <si>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</si>
  <si>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</si>
  <si>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</si>
  <si>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</si>
  <si>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</si>
  <si>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</si>
  <si>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</si>
  <si>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</si>
  <si>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</si>
  <si>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</si>
  <si>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</si>
  <si>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</si>
  <si>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</si>
  <si>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</si>
  <si>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</si>
  <si>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</si>
  <si>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</si>
  <si>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</si>
  <si>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</si>
  <si>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</si>
  <si>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</si>
  <si>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</si>
  <si>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</si>
  <si>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</si>
  <si>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</si>
  <si>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</si>
  <si>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</si>
  <si>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</si>
  <si>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</si>
  <si>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</si>
  <si>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</si>
  <si>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</si>
  <si>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</si>
  <si>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</si>
  <si>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</si>
  <si>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</si>
  <si>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</si>
  <si>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</si>
  <si>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</si>
  <si>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</si>
  <si>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</si>
  <si>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</si>
  <si>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</si>
  <si>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</si>
  <si>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</si>
  <si>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</si>
  <si>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</si>
  <si>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</si>
  <si>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</si>
  <si>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</si>
  <si>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</si>
  <si>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</si>
  <si>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</si>
  <si>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</si>
  <si>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</si>
  <si>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</si>
  <si>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</si>
  <si>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</si>
  <si>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</si>
  <si>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</si>
  <si>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</si>
  <si>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</si>
  <si>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</si>
  <si>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</si>
  <si>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</si>
  <si>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</si>
  <si>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</si>
  <si>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</si>
  <si>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</si>
  <si>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</si>
  <si>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</si>
  <si>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</si>
  <si>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</si>
  <si>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</si>
  <si>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</si>
  <si>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</si>
  <si>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</si>
  <si>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</si>
  <si>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</si>
  <si>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</si>
  <si>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</si>
  <si>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</si>
  <si>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</si>
  <si>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</si>
  <si>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</si>
  <si>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</si>
  <si>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</si>
  <si>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</si>
  <si>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</si>
  <si>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</si>
  <si>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</si>
  <si>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</si>
  <si>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</si>
  <si>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</si>
  <si>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</si>
  <si>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</si>
  <si>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</si>
  <si>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</si>
  <si>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</si>
  <si>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</si>
  <si>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</si>
  <si>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</si>
  <si>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</si>
  <si>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</si>
  <si>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</si>
  <si>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</si>
  <si>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</si>
  <si>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</si>
  <si>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</si>
  <si>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</si>
  <si>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</si>
  <si>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</si>
  <si>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</si>
  <si>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</si>
  <si>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</si>
  <si>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</si>
  <si>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</si>
  <si>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</si>
  <si>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</si>
  <si>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</si>
  <si>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</si>
  <si>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</si>
  <si>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</si>
  <si>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</si>
  <si>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</si>
  <si>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</si>
  <si>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</si>
  <si>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</si>
  <si>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</si>
  <si>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</si>
  <si>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</si>
  <si>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</si>
  <si>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</si>
  <si>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</si>
  <si>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</si>
  <si>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</si>
  <si>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</si>
  <si>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</si>
  <si>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</si>
  <si>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</si>
  <si>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</si>
  <si>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</si>
  <si>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</si>
  <si>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</si>
  <si>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</si>
  <si>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</si>
  <si>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</si>
  <si>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</si>
  <si>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</si>
  <si>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</si>
  <si>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</si>
  <si>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</si>
  <si>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</si>
  <si>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</si>
  <si>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</si>
  <si>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</si>
  <si>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</si>
  <si>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</si>
  <si>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</si>
  <si>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</si>
  <si>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</si>
  <si>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</si>
  <si>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</si>
  <si>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</si>
  <si>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</si>
  <si>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</si>
  <si>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</si>
  <si>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</si>
  <si>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</si>
  <si>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</si>
  <si>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</si>
  <si>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</si>
  <si>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</si>
  <si>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</si>
  <si>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</si>
  <si>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</si>
  <si>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</si>
  <si>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</si>
  <si>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</si>
  <si>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</si>
  <si>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</si>
  <si>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</si>
  <si>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</si>
  <si>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</si>
  <si>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</si>
  <si>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</si>
  <si>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</si>
  <si>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</si>
  <si>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</si>
  <si>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</si>
  <si>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</si>
  <si>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</si>
  <si>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</si>
  <si>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</si>
  <si>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</si>
  <si>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</si>
  <si>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</si>
  <si>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</si>
  <si>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</si>
  <si>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</si>
  <si>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</si>
  <si>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</si>
  <si>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</si>
  <si>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</si>
  <si>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</si>
  <si>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</si>
  <si>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</si>
  <si>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</si>
  <si>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</si>
  <si>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</si>
  <si>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</si>
  <si>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</si>
  <si>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</si>
  <si>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</si>
  <si>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</si>
  <si>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</si>
  <si>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</si>
  <si>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</si>
  <si>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</si>
  <si>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</si>
  <si>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</si>
  <si>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</si>
  <si>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</si>
  <si>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</si>
  <si>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</si>
  <si>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</si>
  <si>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</si>
  <si>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</si>
  <si>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</si>
  <si>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</si>
  <si>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</si>
  <si>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</si>
  <si>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</si>
  <si>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</si>
  <si>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</si>
  <si>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</si>
  <si>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</si>
  <si>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</si>
  <si>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</si>
  <si>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</si>
  <si>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</si>
  <si>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</si>
  <si>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</si>
  <si>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</si>
  <si>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</si>
  <si>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</si>
  <si>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</si>
  <si>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</si>
  <si>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</si>
  <si>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</si>
  <si>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</si>
  <si>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</si>
  <si>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</si>
  <si>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</si>
  <si>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</si>
  <si>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</si>
  <si>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</si>
  <si>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</si>
  <si>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</si>
  <si>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</si>
  <si>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</si>
  <si>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</si>
  <si>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</si>
  <si>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</si>
  <si>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</si>
  <si>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</si>
  <si>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</si>
  <si>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</si>
  <si>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</si>
  <si>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</si>
  <si>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</si>
  <si>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</si>
  <si>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</si>
  <si>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</si>
  <si>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</si>
  <si>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</si>
  <si>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</si>
  <si>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</si>
  <si>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</si>
  <si>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</si>
  <si>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</si>
  <si>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</si>
  <si>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</si>
  <si>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</si>
  <si>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</si>
  <si>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</si>
  <si>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</si>
  <si>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</si>
  <si>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</si>
  <si>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</si>
  <si>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</si>
  <si>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</si>
  <si>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</si>
  <si>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</si>
  <si>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</si>
  <si>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</si>
  <si>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</si>
  <si>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</si>
  <si>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</si>
  <si>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</si>
  <si>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</si>
  <si>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</si>
  <si>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</si>
  <si>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</si>
  <si>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</si>
  <si>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</si>
  <si>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</si>
  <si>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</si>
  <si>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</si>
  <si>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</si>
  <si>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</si>
  <si>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</si>
  <si>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</si>
  <si>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</si>
  <si>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</si>
  <si>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</si>
  <si>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</si>
  <si>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</si>
  <si>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</si>
  <si>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</si>
  <si>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</si>
  <si>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</si>
  <si>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</si>
  <si>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</si>
  <si>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</si>
  <si>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</si>
  <si>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</si>
  <si>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</si>
  <si>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</si>
  <si>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</si>
  <si>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</si>
  <si>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</si>
  <si>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</si>
  <si>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</si>
  <si>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</si>
  <si>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</si>
  <si>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</si>
  <si>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</si>
  <si>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</si>
  <si>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</si>
  <si>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</si>
  <si>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</si>
  <si>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</si>
  <si>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</si>
  <si>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</si>
  <si>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</si>
  <si>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</si>
  <si>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</si>
  <si>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</si>
  <si>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</si>
  <si>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</si>
  <si>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</si>
  <si>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</si>
  <si>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</si>
  <si>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</si>
  <si>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</si>
  <si>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</si>
  <si>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</si>
  <si>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</si>
  <si>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</si>
  <si>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</si>
  <si>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</si>
  <si>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</si>
  <si>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</si>
  <si>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</si>
  <si>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</si>
  <si>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</si>
  <si>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</si>
  <si>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</si>
  <si>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</si>
  <si>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</si>
  <si>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</si>
  <si>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</si>
  <si>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</si>
  <si>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</si>
  <si>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</si>
  <si>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</si>
  <si>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</si>
  <si>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</si>
  <si>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</si>
  <si>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</si>
  <si>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</si>
  <si>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</si>
  <si>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</si>
  <si>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</si>
  <si>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</si>
  <si>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</si>
  <si>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</si>
  <si>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</si>
  <si>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</si>
  <si>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</si>
  <si>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</si>
  <si>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</si>
  <si>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</si>
  <si>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</si>
  <si>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</si>
  <si>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</si>
  <si>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</si>
  <si>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</si>
  <si>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</si>
  <si>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</si>
  <si>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</si>
  <si>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</si>
  <si>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</si>
  <si>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</si>
  <si>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</si>
  <si>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</si>
  <si>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</si>
  <si>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</si>
  <si>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</si>
  <si>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</si>
  <si>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</si>
  <si>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</si>
  <si>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</si>
  <si>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</si>
  <si>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</si>
  <si>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</si>
  <si>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</si>
  <si>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</si>
  <si>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</si>
  <si>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</si>
  <si>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</si>
  <si>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</si>
  <si>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</si>
  <si>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</si>
  <si>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</si>
  <si>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</si>
  <si>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</si>
  <si>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</si>
  <si>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</si>
  <si>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</si>
  <si>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</si>
  <si>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</si>
  <si>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</si>
  <si>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</si>
  <si>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</si>
  <si>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</si>
  <si>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</si>
  <si>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</si>
  <si>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</si>
  <si>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</si>
  <si>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</si>
  <si>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</si>
  <si>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</si>
  <si>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</si>
  <si>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</si>
  <si>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</si>
  <si>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</si>
  <si>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</si>
  <si>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</si>
  <si>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</si>
  <si>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</si>
  <si>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</si>
  <si>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</si>
  <si>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</si>
  <si>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</si>
  <si>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</si>
  <si>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</si>
  <si>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</si>
  <si>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</si>
  <si>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</si>
  <si>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</si>
  <si>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</si>
  <si>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</si>
  <si>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</si>
  <si>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</si>
  <si>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</si>
  <si>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</si>
  <si>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</si>
  <si>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</si>
  <si>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</si>
  <si>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</si>
  <si>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</si>
  <si>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</si>
  <si>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</si>
  <si>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</si>
  <si>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</si>
  <si>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</si>
  <si>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</si>
  <si>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</si>
  <si>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</si>
  <si>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</si>
  <si>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</si>
  <si>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</si>
  <si>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</si>
  <si>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</si>
  <si>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</si>
  <si>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</si>
  <si>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</si>
  <si>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</si>
  <si>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</si>
  <si>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</si>
  <si>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</si>
  <si>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</si>
  <si>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</si>
  <si>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</si>
  <si>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</si>
  <si>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</si>
  <si>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</si>
  <si>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</si>
  <si>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</si>
  <si>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</si>
  <si>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</si>
  <si>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</si>
  <si>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</si>
  <si>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</si>
  <si>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</si>
  <si>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</si>
  <si>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</si>
  <si>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</si>
  <si>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</si>
  <si>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</si>
  <si>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</si>
  <si>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</si>
  <si>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</si>
  <si>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</si>
  <si>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</si>
  <si>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</si>
  <si>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</si>
  <si>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</si>
  <si>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</si>
  <si>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</si>
  <si>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</si>
  <si>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</si>
  <si>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</si>
  <si>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</si>
  <si>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</si>
  <si>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</si>
  <si>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</si>
  <si>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</si>
  <si>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</si>
  <si>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</si>
  <si>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</si>
  <si>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</si>
  <si>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</si>
  <si>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</si>
  <si>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</si>
  <si>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</si>
  <si>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</si>
  <si>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</si>
  <si>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</si>
  <si>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</si>
  <si>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</si>
  <si>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</si>
  <si>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</si>
  <si>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</si>
  <si>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</si>
  <si>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</si>
  <si>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</si>
  <si>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</si>
  <si>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</si>
  <si>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</si>
  <si>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</si>
  <si>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</si>
  <si>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</si>
  <si>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</si>
  <si>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</si>
  <si>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</si>
  <si>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</si>
  <si>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</si>
  <si>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</si>
  <si>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</si>
  <si>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</si>
  <si>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</si>
  <si>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</si>
  <si>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</si>
  <si>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</si>
  <si>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</si>
  <si>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</si>
  <si>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</si>
  <si>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</si>
  <si>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</si>
  <si>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</si>
  <si>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</si>
  <si>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</si>
  <si>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</si>
  <si>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</si>
  <si>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</si>
  <si>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</si>
  <si>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</si>
  <si>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</si>
  <si>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</si>
  <si>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</si>
  <si>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</si>
  <si>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</si>
  <si>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</si>
  <si>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</si>
  <si>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</si>
  <si>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</si>
  <si>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</si>
  <si>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</si>
  <si>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</si>
  <si>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</si>
  <si>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</si>
  <si>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</si>
  <si>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</si>
  <si>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</si>
  <si>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</si>
  <si>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</si>
  <si>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</si>
  <si>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</si>
  <si>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</si>
  <si>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</si>
  <si>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</si>
  <si>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</si>
  <si>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</si>
  <si>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</si>
  <si>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</si>
  <si>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</si>
  <si>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</si>
  <si>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</si>
  <si>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</si>
  <si>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</si>
  <si>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</si>
  <si>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</si>
  <si>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</si>
  <si>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</si>
  <si>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</si>
  <si>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</si>
  <si>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</si>
  <si>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</si>
  <si>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</si>
  <si>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</si>
  <si>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</si>
  <si>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</si>
  <si>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</si>
  <si>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</si>
  <si>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</si>
  <si>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</si>
  <si>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</si>
  <si>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</si>
  <si>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</si>
  <si>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</si>
  <si>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</si>
  <si>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</si>
  <si>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</si>
  <si>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</si>
  <si>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</si>
  <si>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</si>
  <si>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</si>
  <si>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</si>
  <si>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</si>
  <si>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</si>
  <si>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</si>
  <si>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</si>
  <si>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</si>
  <si>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</si>
  <si>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</si>
  <si>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</si>
  <si>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</si>
  <si>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</si>
  <si>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</si>
  <si>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</si>
  <si>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</si>
  <si>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</si>
  <si>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</si>
  <si>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</si>
  <si>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</si>
  <si>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</si>
  <si>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</si>
  <si>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</si>
  <si>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</si>
  <si>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</si>
  <si>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</si>
  <si>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</si>
  <si>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</si>
  <si>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</si>
  <si>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</si>
  <si>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</si>
  <si>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</si>
  <si>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</si>
  <si>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</si>
  <si>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</si>
  <si>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</si>
  <si>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</si>
  <si>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</si>
  <si>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</si>
  <si>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</si>
  <si>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</si>
  <si>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</si>
  <si>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</si>
  <si>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</si>
  <si>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</si>
  <si>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</si>
  <si>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</si>
  <si>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</si>
  <si>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</si>
  <si>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</si>
  <si>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</si>
  <si>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</si>
  <si>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</si>
  <si>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</si>
  <si>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</si>
  <si>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</si>
  <si>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</si>
  <si>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</si>
  <si>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</si>
  <si>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</si>
  <si>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</si>
  <si>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</si>
  <si>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</si>
  <si>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</si>
  <si>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</si>
  <si>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</si>
  <si>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</si>
  <si>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</si>
  <si>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</si>
  <si>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</si>
  <si>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</si>
  <si>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</si>
  <si>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</si>
  <si>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</si>
  <si>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</si>
  <si>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</si>
  <si>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</si>
  <si>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</si>
  <si>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</si>
  <si>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</si>
  <si>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</si>
  <si>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</si>
  <si>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</si>
  <si>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</si>
  <si>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</si>
  <si>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</si>
  <si>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</si>
  <si>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</si>
  <si>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</si>
  <si>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</si>
  <si>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</si>
  <si>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</si>
  <si>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</si>
  <si>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</si>
  <si>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</si>
  <si>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</si>
  <si>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</si>
  <si>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</si>
  <si>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</si>
  <si>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</si>
  <si>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</si>
  <si>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</si>
  <si>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</si>
  <si>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</si>
  <si>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</si>
  <si>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</si>
  <si>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</si>
  <si>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</si>
  <si>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</si>
  <si>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</si>
  <si>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</si>
  <si>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</si>
  <si>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</si>
  <si>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</si>
  <si>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</si>
  <si>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</si>
  <si>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</si>
  <si>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</si>
  <si>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</si>
  <si>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</si>
  <si>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</si>
  <si>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</si>
  <si>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</si>
  <si>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</si>
  <si>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</si>
  <si>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</si>
  <si>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</si>
  <si>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</si>
  <si>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</si>
  <si>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</si>
  <si>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</si>
  <si>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</si>
  <si>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</si>
  <si>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</si>
  <si>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</si>
  <si>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</si>
  <si>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</si>
  <si>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</si>
  <si>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</si>
  <si>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</si>
  <si>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</si>
  <si>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</si>
  <si>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</si>
  <si>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</si>
  <si>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</si>
  <si>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</si>
  <si>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</si>
  <si>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</si>
  <si>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</si>
  <si>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</si>
  <si>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</si>
  <si>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</si>
  <si>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</si>
  <si>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</si>
  <si>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</si>
  <si>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</si>
  <si>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</si>
  <si>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</si>
  <si>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</si>
  <si>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</si>
  <si>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</si>
  <si>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</si>
  <si>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</si>
  <si>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</si>
  <si>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</si>
  <si>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</si>
  <si>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</si>
  <si>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</si>
  <si>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</si>
  <si>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</si>
  <si>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</si>
  <si>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</si>
  <si>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</si>
  <si>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</si>
  <si>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</si>
  <si>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</si>
  <si>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</si>
  <si>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</si>
  <si>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</si>
  <si>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</si>
  <si>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</si>
  <si>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</si>
  <si>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</si>
  <si>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</si>
  <si>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</si>
  <si>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</si>
  <si>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</si>
  <si>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</si>
  <si>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</si>
  <si>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</si>
  <si>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</si>
  <si>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</si>
  <si>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</si>
  <si>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</si>
  <si>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</si>
  <si>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</si>
  <si>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</si>
  <si>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</si>
  <si>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</si>
  <si>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</si>
  <si>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</si>
  <si>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</si>
  <si>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</si>
  <si>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</si>
  <si>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</si>
  <si>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</si>
  <si>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</si>
  <si>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</si>
  <si>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</si>
  <si>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</si>
  <si>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</si>
  <si>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</si>
  <si>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</si>
  <si>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</si>
  <si>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</si>
  <si>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</si>
  <si>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</si>
  <si>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</si>
  <si>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</si>
  <si>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</si>
  <si>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</si>
  <si>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</si>
  <si>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</si>
  <si>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</si>
  <si>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</si>
  <si>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</si>
  <si>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</si>
  <si>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</si>
  <si>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</si>
  <si>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</si>
  <si>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</si>
  <si>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</si>
  <si>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</si>
  <si>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</si>
  <si>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</si>
  <si>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</si>
  <si>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</si>
  <si>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</si>
  <si>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</si>
  <si>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</si>
  <si>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</si>
  <si>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</si>
  <si>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</si>
  <si>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</si>
  <si>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</si>
  <si>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</si>
  <si>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</si>
  <si>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</si>
  <si>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</si>
  <si>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</si>
  <si>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</si>
  <si>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</si>
  <si>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</si>
  <si>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</si>
  <si>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</si>
  <si>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</si>
  <si>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</si>
  <si>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</si>
  <si>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</si>
  <si>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</si>
  <si>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</si>
  <si>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</si>
  <si>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</si>
  <si>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</si>
  <si>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</si>
  <si>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</si>
  <si>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</si>
  <si>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</si>
  <si>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</si>
  <si>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</si>
  <si>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</si>
  <si>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</si>
  <si>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</si>
  <si>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</si>
  <si>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</si>
  <si>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</si>
  <si>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</si>
  <si>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</si>
  <si>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</si>
  <si>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</si>
  <si>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</si>
  <si>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</si>
  <si>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</si>
  <si>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</si>
  <si>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</si>
  <si>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</si>
  <si>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</si>
  <si>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</si>
  <si>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</si>
  <si>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</si>
  <si>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</si>
  <si>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</si>
  <si>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</si>
  <si>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</si>
  <si>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</si>
  <si>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</si>
  <si>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</si>
  <si>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</si>
  <si>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</si>
  <si>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</si>
  <si>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</si>
  <si>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</si>
  <si>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</si>
  <si>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</si>
  <si>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</si>
  <si>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</si>
  <si>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</si>
  <si>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</si>
  <si>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</si>
  <si>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</si>
  <si>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</si>
  <si>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</si>
  <si>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</si>
  <si>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</si>
  <si>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</si>
  <si>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</si>
  <si>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</si>
  <si>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</si>
  <si>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</si>
  <si>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</si>
  <si>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</si>
  <si>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</si>
  <si>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</si>
  <si>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</si>
  <si>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</si>
  <si>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</si>
  <si>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</si>
  <si>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</si>
  <si>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</si>
  <si>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</si>
  <si>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</si>
  <si>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</si>
  <si>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</si>
  <si>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</si>
  <si>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</si>
  <si>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</si>
  <si>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</si>
  <si>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</si>
  <si>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</si>
  <si>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</si>
  <si>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</si>
  <si>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</si>
  <si>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</si>
  <si>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</si>
  <si>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</si>
  <si>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</si>
  <si>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</si>
  <si>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</si>
  <si>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</si>
  <si>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</si>
  <si>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</si>
  <si>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</si>
  <si>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</si>
  <si>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</si>
  <si>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</si>
  <si>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</si>
  <si>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</si>
  <si>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</si>
  <si>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</si>
  <si>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</si>
  <si>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</si>
  <si>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</si>
  <si>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</si>
  <si>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</si>
  <si>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</si>
  <si>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</si>
  <si>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</si>
  <si>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</si>
  <si>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</si>
  <si>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</si>
  <si>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</si>
  <si>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</si>
  <si>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</si>
  <si>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</si>
  <si>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</si>
  <si>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</si>
  <si>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</si>
  <si>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</si>
  <si>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</si>
  <si>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</si>
  <si>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</si>
  <si>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</si>
  <si>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</si>
  <si>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</si>
  <si>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</si>
  <si>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</si>
  <si>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</si>
  <si>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</si>
  <si>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</si>
  <si>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</si>
  <si>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</si>
  <si>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</si>
  <si>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</si>
  <si>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</si>
  <si>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</si>
  <si>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</si>
  <si>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</si>
  <si>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</si>
  <si>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</si>
  <si>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</si>
  <si>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</si>
  <si>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</si>
  <si>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</si>
  <si>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</si>
  <si>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</si>
  <si>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</si>
  <si>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</si>
  <si>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</si>
  <si>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</si>
  <si>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</si>
  <si>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</si>
  <si>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</si>
  <si>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</si>
  <si>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</si>
  <si>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</si>
  <si>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</si>
  <si>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</si>
  <si>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</si>
  <si>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</si>
  <si>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</si>
  <si>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</si>
  <si>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</si>
  <si>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</si>
  <si>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</si>
  <si>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</si>
  <si>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</si>
  <si>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</si>
  <si>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</si>
  <si>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</si>
  <si>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</si>
  <si>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</si>
  <si>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</si>
  <si>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</si>
  <si>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</si>
  <si>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</si>
  <si>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</si>
  <si>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</si>
  <si>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</si>
  <si>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</si>
  <si>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</si>
  <si>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</si>
  <si>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</si>
  <si>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</si>
  <si>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</si>
  <si>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</si>
  <si>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</si>
  <si>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</si>
  <si>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</si>
  <si>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</si>
  <si>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</si>
  <si>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</si>
  <si>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</si>
  <si>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</si>
  <si>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</si>
  <si>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</si>
  <si>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</si>
  <si>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</si>
  <si>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</si>
  <si>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</si>
  <si>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</si>
  <si>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</si>
  <si>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</si>
  <si>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</si>
  <si>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</si>
  <si>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</si>
  <si>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</si>
  <si>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</si>
  <si>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</si>
  <si>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</si>
  <si>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</si>
  <si>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</si>
  <si>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</si>
  <si>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</si>
  <si>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</si>
  <si>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</si>
  <si>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</si>
  <si>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</si>
  <si>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</si>
  <si>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</si>
  <si>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</si>
  <si>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</si>
  <si>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</si>
  <si>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</si>
  <si>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</si>
  <si>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</si>
  <si>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</si>
  <si>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</si>
  <si>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</si>
  <si>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</si>
  <si>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</si>
  <si>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</si>
  <si>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</si>
  <si>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</si>
  <si>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</si>
  <si>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</si>
  <si>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</si>
  <si>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</si>
  <si>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</si>
  <si>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</si>
  <si>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</si>
  <si>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</si>
  <si>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</si>
  <si>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</si>
  <si>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</si>
  <si>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</si>
  <si>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</si>
  <si>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</si>
  <si>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</si>
  <si>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</si>
  <si>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</si>
  <si>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</si>
  <si>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</si>
  <si>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</si>
  <si>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</si>
  <si>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</si>
  <si>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</si>
  <si>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</si>
  <si>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</si>
  <si>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</si>
  <si>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</si>
  <si>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</si>
  <si>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</si>
  <si>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</si>
  <si>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</si>
  <si>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</si>
  <si>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</si>
  <si>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</si>
  <si>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</si>
  <si>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</si>
  <si>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</si>
  <si>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</si>
  <si>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</si>
  <si>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</si>
  <si>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</si>
  <si>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</si>
  <si>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</si>
  <si>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</si>
  <si>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</si>
  <si>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</si>
  <si>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</si>
  <si>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</si>
  <si>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</si>
  <si>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</si>
  <si>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</si>
  <si>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</si>
  <si>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</si>
  <si>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</si>
  <si>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</si>
  <si>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</si>
  <si>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</si>
  <si>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</si>
  <si>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</si>
  <si>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</si>
  <si>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</si>
  <si>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</si>
  <si>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</si>
  <si>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</si>
  <si>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</si>
  <si>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</si>
  <si>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</si>
  <si>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</si>
  <si>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</si>
  <si>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</si>
  <si>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</si>
  <si>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</si>
  <si>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</si>
  <si>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</si>
  <si>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</si>
  <si>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</si>
  <si>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</si>
  <si>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</si>
  <si>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</si>
  <si>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</si>
  <si>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</si>
  <si>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</si>
  <si>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</si>
  <si>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</si>
  <si>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</si>
  <si>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</si>
  <si>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</si>
  <si>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</si>
  <si>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</si>
  <si>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</si>
  <si>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</si>
  <si>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</si>
  <si>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</si>
  <si>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</si>
  <si>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</si>
  <si>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</si>
  <si>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</si>
  <si>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</si>
  <si>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</si>
  <si>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</si>
  <si>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</si>
  <si>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</si>
  <si>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</si>
  <si>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</si>
  <si>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</si>
  <si>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</si>
  <si>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</si>
  <si>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</si>
  <si>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</si>
  <si>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</si>
  <si>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</si>
  <si>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</si>
  <si>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</si>
  <si>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</si>
  <si>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</si>
  <si>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</si>
  <si>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</si>
  <si>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</si>
  <si>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</si>
  <si>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</si>
  <si>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</si>
  <si>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</si>
  <si>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</si>
  <si>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16-18 Oatlands Drive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</si>
</sst>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4.8800000000000003E-2</c:v>
                </c:pt>
                <c:pt idx="1">
                  <c:v>0</c:v>
                </c:pt>
                <c:pt idx="2">
                  <c:v>0.39889999999999998</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0.39040000000000002</c:v>
                </c:pt>
                <c:pt idx="1">
                  <c:v>0</c:v>
                </c:pt>
                <c:pt idx="2">
                  <c:v>0.83119999999999994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0.44769999999999999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0.51680000000000004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1.2216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1.2904766974953601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4.8899999999999992E-2</c:v>
                </c:pt>
                <c:pt idx="3">
                  <c:v>0.22</c:v>
                </c:pt>
                <c:pt idx="4">
                  <c:v>0.13</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1.2216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1.2904766974953601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6.8876697495360073E-2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0.44769999999999999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0.51680000000000004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6.910000000000005E-2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56310"/>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93445"/>
          <a:ext cx="546925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68705"/>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9083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775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794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775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755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657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85825"/>
          <a:ext cx="4621530" cy="7832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729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94586"/>
          <a:ext cx="6845300" cy="743714"/>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activeCell="G15" sqref="G15"/>
    </sheetView>
  </sheetViews>
  <sheetFormatPr defaultColWidth="0" defaultRowHeight="15" zeroHeight="1" x14ac:dyDescent="0.25"/>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75" thickBot="1" x14ac:dyDescent="0.3"/>
    <row r="2" spans="1:34" ht="18.75" customHeight="1" thickBot="1" x14ac:dyDescent="0.3">
      <c r="D2" s="896" t="str">
        <f>IF(Start!$F$12="","",Start!$F$12)</f>
        <v>16-18 Oatlands Drive</v>
      </c>
      <c r="E2" s="898"/>
      <c r="P2" s="908" t="str">
        <f>IF(OR(COUNTIF($O$11:O256,"*30+*")&gt;0,COUNTIF($S$11:S256,"*30+*")&gt;0),"Note; Habitat selected has a time to target condition greater than 30 years. Non standard agreement may be required.","")</f>
        <v/>
      </c>
      <c r="Q2" s="908"/>
      <c r="R2" s="908"/>
      <c r="S2" s="908"/>
    </row>
    <row r="3" spans="1:34" ht="24" customHeight="1" thickBot="1" x14ac:dyDescent="0.3">
      <c r="D3" s="893" t="str">
        <f ca="1">MID(CELL("filename",D1),FIND("]",CELL("filename",D1))+1,256)</f>
        <v>A-2 Site Habitat Creation</v>
      </c>
      <c r="E3" s="895"/>
      <c r="O3" s="400"/>
      <c r="P3" s="908"/>
      <c r="Q3" s="908"/>
      <c r="R3" s="908"/>
      <c r="S3" s="908"/>
      <c r="W3" s="907"/>
      <c r="X3" s="907"/>
      <c r="Y3" s="907"/>
      <c r="Z3" s="907"/>
    </row>
    <row r="4" spans="1:34" ht="12.6" customHeight="1" x14ac:dyDescent="0.25">
      <c r="O4" s="400"/>
      <c r="P4" s="400"/>
      <c r="Q4" s="400"/>
      <c r="R4" s="400"/>
      <c r="W4" s="907"/>
      <c r="X4" s="907"/>
      <c r="Y4" s="907"/>
      <c r="Z4" s="907"/>
    </row>
    <row r="5" spans="1:34" ht="15.6" customHeight="1" x14ac:dyDescent="0.25">
      <c r="M5" s="244"/>
      <c r="N5" s="234"/>
      <c r="O5" s="400"/>
      <c r="P5" s="909" t="str">
        <f>IFERROR(IF(OR((G259-'A-1 Site Habitat Baseline'!W261)&gt;0.01,(G259-'A-1 Site Habitat Baseline'!W261)&lt;-0.01),"Check Areas - Area cross check failed (Baseline habitat lost does not match development footprint plus area of new habitat creation)",""),"")</f>
        <v/>
      </c>
      <c r="Q5" s="909"/>
      <c r="R5" s="909"/>
      <c r="S5" s="909"/>
      <c r="W5" s="907"/>
      <c r="X5" s="907"/>
      <c r="Y5" s="907"/>
      <c r="Z5" s="907"/>
    </row>
    <row r="6" spans="1:34" ht="19.149999999999999" customHeight="1" x14ac:dyDescent="0.25">
      <c r="O6" s="400"/>
      <c r="P6" s="909"/>
      <c r="Q6" s="909"/>
      <c r="R6" s="909"/>
      <c r="S6" s="909"/>
      <c r="W6" s="907"/>
      <c r="X6" s="907"/>
      <c r="Y6" s="907"/>
      <c r="Z6" s="907"/>
    </row>
    <row r="7" spans="1:34" ht="39" customHeight="1" thickBot="1" x14ac:dyDescent="0.35">
      <c r="E7" s="50"/>
      <c r="P7" s="401"/>
      <c r="Q7" s="401"/>
      <c r="R7" s="401"/>
      <c r="S7" s="397"/>
      <c r="T7" s="397"/>
      <c r="U7" s="397"/>
      <c r="V7" s="397"/>
      <c r="W7" s="397"/>
    </row>
    <row r="8" spans="1:34" ht="15.75" thickBot="1" x14ac:dyDescent="0.3">
      <c r="D8" s="917" t="s">
        <v>225</v>
      </c>
      <c r="E8" s="918"/>
      <c r="F8" s="918"/>
      <c r="G8" s="918"/>
      <c r="H8" s="918"/>
      <c r="I8" s="918"/>
      <c r="J8" s="918"/>
      <c r="K8" s="918"/>
      <c r="L8" s="918"/>
      <c r="M8" s="918"/>
      <c r="N8" s="918"/>
      <c r="O8" s="918"/>
      <c r="P8" s="918"/>
      <c r="Q8" s="918"/>
      <c r="R8" s="918"/>
      <c r="S8" s="918"/>
      <c r="T8" s="918"/>
      <c r="U8" s="918"/>
      <c r="V8" s="918"/>
      <c r="W8" s="918"/>
      <c r="X8" s="918"/>
      <c r="Y8" s="918"/>
      <c r="Z8" s="918"/>
      <c r="AA8" s="919"/>
      <c r="AE8" s="910" t="s">
        <v>226</v>
      </c>
    </row>
    <row r="9" spans="1:34" s="49" customFormat="1" ht="15" customHeight="1" thickBot="1" x14ac:dyDescent="0.3">
      <c r="B9" s="47"/>
      <c r="D9" s="915" t="s">
        <v>202</v>
      </c>
      <c r="E9" s="911" t="s">
        <v>227</v>
      </c>
      <c r="F9" s="911" t="s">
        <v>227</v>
      </c>
      <c r="G9" s="913"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10"/>
      <c r="AF9" s="47"/>
      <c r="AG9" s="47"/>
      <c r="AH9" s="47"/>
    </row>
    <row r="10" spans="1:34" ht="42.75" x14ac:dyDescent="0.25">
      <c r="A10" s="55" t="s">
        <v>200</v>
      </c>
      <c r="D10" s="916"/>
      <c r="E10" s="912"/>
      <c r="F10" s="912"/>
      <c r="G10" s="914"/>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20"/>
      <c r="Z10" s="363" t="s">
        <v>215</v>
      </c>
      <c r="AA10" s="365" t="s">
        <v>216</v>
      </c>
      <c r="AE10" s="47" t="s">
        <v>242</v>
      </c>
    </row>
    <row r="11" spans="1:34" ht="45" x14ac:dyDescent="0.25">
      <c r="A11" s="47" t="str">
        <f>IFERROR(INDEX('G-8 Condition Look up'!$I$4:$I$130,MATCH(F11,'G-8 Condition Look up'!$A$4:$A$130,0)),"")</f>
        <v>Cond2</v>
      </c>
      <c r="C11" s="382" t="str">
        <f>IFERROR(INDEX('G-1 All Habitats'!$AG$3:$AG$15,MATCH(D11,'G-1 All Habitats'!$AF$3:$AF$15,0)),"")</f>
        <v>Urban</v>
      </c>
      <c r="D11" s="71" t="s">
        <v>74</v>
      </c>
      <c r="E11" s="82" t="s">
        <v>599</v>
      </c>
      <c r="F11" s="378" t="str">
        <f>IFERROR(INDEX('G-1 All Habitats'!$B$3:$B$129,MATCH(E11,'G-1 All Habitats'!$A$3:$A$129,0)),"")</f>
        <v>Urban - Developed land; sealed surface</v>
      </c>
      <c r="G11" s="70">
        <v>0.15</v>
      </c>
      <c r="H11" s="497" t="str">
        <f>IF(F11="","",VLOOKUP(F11,'G-1 All Habitats'!$B$2:$M$129,10,FALSE))</f>
        <v>V.Low</v>
      </c>
      <c r="I11" s="498">
        <f>IFERROR(VLOOKUP(H11,'G-1 All Habitats'!$V$3:$W$7,2,FALSE),"")</f>
        <v>0</v>
      </c>
      <c r="J11" s="71" t="s">
        <v>407</v>
      </c>
      <c r="K11" s="498">
        <f>IFERROR(INDEX('G-8 Condition Look up'!$A$3:$H$130,MATCH(F11,'G-8 Condition Look up'!$A$3:$A$130,0),MATCH(J11,'G-8 Condition Look up'!$A$3:$H$3,0)),"")</f>
        <v>0</v>
      </c>
      <c r="L11" s="71" t="s">
        <v>921</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0</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0</v>
      </c>
      <c r="T11" s="521">
        <f>IFERROR(IF(S11="Check Data ⚠","Check Data ⚠",VLOOKUP(S11,'G-4 Temporal multipliers'!$A$4:$C$37,3,FALSE)),"")</f>
        <v>1</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Medium</v>
      </c>
      <c r="X11" s="523">
        <f>IFERROR(IF(E11="","",VLOOKUP(W11, 'G-3 Multipliers'!$P$2:$Q$6,2,FALSE)),"")</f>
        <v>0.67</v>
      </c>
      <c r="Y11" s="528">
        <f>IFERROR(G11*I11*K11*N11*T11*X11,"")</f>
        <v>0</v>
      </c>
      <c r="Z11" s="238"/>
      <c r="AA11" s="239"/>
      <c r="AE11" s="54" t="str">
        <f t="shared" ref="AE11:AE74" si="1">IFERROR(INDEX(TemporalData,MATCH(F11,TemporalHabitats,0),MATCH($AE$10,TemporalConditions,0)),"")</f>
        <v>Not Possible</v>
      </c>
    </row>
    <row r="12" spans="1:34" ht="45" x14ac:dyDescent="0.25">
      <c r="A12" s="47" t="str">
        <f>IFERROR(INDEX('G-8 Condition Look up'!$I$4:$I$130,MATCH(F12,'G-8 Condition Look up'!$A$4:$A$130,0)),"")</f>
        <v>Cond1</v>
      </c>
      <c r="C12" s="383" t="str">
        <f>IFERROR(INDEX('G-1 All Habitats'!$AG$3:$AG$15,MATCH(D12,'G-1 All Habitats'!$AF$3:$AF$15,0)),"")</f>
        <v>Urban</v>
      </c>
      <c r="D12" s="146" t="s">
        <v>74</v>
      </c>
      <c r="E12" s="79" t="s">
        <v>638</v>
      </c>
      <c r="F12" s="245" t="str">
        <f>IFERROR(INDEX('G-1 All Habitats'!$B$3:$B$129,MATCH(E12,'G-1 All Habitats'!$A$3:$A$129,0)),"")</f>
        <v>Urban - Vegetated garden</v>
      </c>
      <c r="G12" s="70">
        <v>0.14000000000000001</v>
      </c>
      <c r="H12" s="497" t="str">
        <f>IF(F12="","",VLOOKUP(F12,'G-1 All Habitats'!$B$2:$M$129,10,FALSE))</f>
        <v>Low</v>
      </c>
      <c r="I12" s="498">
        <f>IFERROR(VLOOKUP(H12,'G-1 All Habitats'!$V$3:$W$7,2,FALSE),"")</f>
        <v>2</v>
      </c>
      <c r="J12" s="71" t="s">
        <v>403</v>
      </c>
      <c r="K12" s="498">
        <f>IFERROR(INDEX('G-8 Condition Look up'!$A$3:$H$130,MATCH(F12,'G-8 Condition Look up'!$A$3:$A$130,0),MATCH(J12,'G-8 Condition Look up'!$A$3:$H$3,0)),"")</f>
        <v>1</v>
      </c>
      <c r="L12" s="71" t="s">
        <v>921</v>
      </c>
      <c r="M12" s="506" t="str">
        <f>IF(L12="","",IF(VLOOKUP(L12,'G-3 Multipliers'!$L$3:$N$6,2,FALSE)=0,"Spatial Data Missing",VLOOKUP(L12,'G-3 Multipliers'!$L$3:$N$6,2,FALSE)))</f>
        <v>Low Strategic Significance</v>
      </c>
      <c r="N12" s="504">
        <f>IF(L12="","",IF(VLOOKUP(L12,'G-3 Multipliers'!$L$3:$N$6,3,FALSE)=0,"Spatial Data Missing",VLOOKUP(L12,'G-3 Multipliers'!$L$3:$N$6,3,FALSE)))</f>
        <v>1</v>
      </c>
      <c r="O12" s="497">
        <f t="shared" si="0"/>
        <v>1</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1</v>
      </c>
      <c r="T12" s="521">
        <f>IFERROR(IF(S12="Check Data ⚠","Check Data ⚠",VLOOKUP(S12,'G-4 Temporal multipliers'!$A$4:$C$37,3,FALSE)),"")</f>
        <v>0.96499999999999997</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Low</v>
      </c>
      <c r="X12" s="523">
        <f>IFERROR(IF(E12="","",VLOOKUP(W12, 'G-3 Multipliers'!$P$2:$Q$6,2,FALSE)),"")</f>
        <v>1</v>
      </c>
      <c r="Y12" s="528">
        <f t="shared" ref="Y12:Y75" si="5">IFERROR(G12*I12*K12*N12*T12*X12,"")</f>
        <v>0.2702</v>
      </c>
      <c r="Z12" s="238"/>
      <c r="AA12" s="239"/>
      <c r="AE12" s="54" t="str">
        <f t="shared" si="1"/>
        <v>Not Possible</v>
      </c>
    </row>
    <row r="13" spans="1:34" ht="42.75" x14ac:dyDescent="0.2">
      <c r="A13" s="47" t="str">
        <f>IFERROR(INDEX('G-8 Condition Look up'!$I$4:$I$130,MATCH(F13,'G-8 Condition Look up'!$A$4:$A$130,0)),"")</f>
        <v>Cond4</v>
      </c>
      <c r="C13" s="383" t="str">
        <f>IFERROR(INDEX('G-1 All Habitats'!$AG$3:$AG$15,MATCH(D13,'G-1 All Habitats'!$AF$3:$AF$15,0)),"")</f>
        <v>Urban</v>
      </c>
      <c r="D13" s="146" t="s">
        <v>74</v>
      </c>
      <c r="E13" s="79" t="s">
        <v>612</v>
      </c>
      <c r="F13" s="245" t="str">
        <f>IFERROR(INDEX('G-1 All Habitats'!$B$3:$B$129,MATCH(E13,'G-1 All Habitats'!$A$3:$A$129,0)),"")</f>
        <v>Urban - Biodiverse green roof</v>
      </c>
      <c r="G13" s="70">
        <v>0.06</v>
      </c>
      <c r="H13" s="497" t="str">
        <f>IF(F13="","",VLOOKUP(F13,'G-1 All Habitats'!$B$2:$M$129,10,FALSE))</f>
        <v>Medium</v>
      </c>
      <c r="I13" s="498">
        <f>IFERROR(VLOOKUP(H13,'G-1 All Habitats'!$V$3:$W$7,2,FALSE),"")</f>
        <v>4</v>
      </c>
      <c r="J13" s="71" t="s">
        <v>20</v>
      </c>
      <c r="K13" s="498">
        <f>IFERROR(INDEX('G-8 Condition Look up'!$A$3:$H$130,MATCH(F13,'G-8 Condition Look up'!$A$3:$A$130,0),MATCH(J13,'G-8 Condition Look up'!$A$3:$H$3,0)),"")</f>
        <v>2</v>
      </c>
      <c r="L13" s="71" t="s">
        <v>921</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5</v>
      </c>
      <c r="P13" s="82"/>
      <c r="Q13" s="82"/>
      <c r="R13" s="506" t="str">
        <f t="shared" si="2"/>
        <v>Standard time to target condition applied</v>
      </c>
      <c r="S13" s="520">
        <f t="shared" si="3"/>
        <v>5</v>
      </c>
      <c r="T13" s="521">
        <f>IFERROR(IF(S13="Check Data ⚠","Check Data ⚠",VLOOKUP(S13,'G-4 Temporal multipliers'!$A$4:$C$37,3,FALSE)),"")</f>
        <v>0.83682870060000003</v>
      </c>
      <c r="U13" s="522" t="str">
        <f>IF(F13="","",VLOOKUP(F13,'G-3 Multipliers'!$A$2:$E$129,2,FALSE))</f>
        <v>Medium</v>
      </c>
      <c r="V13" s="519" t="str">
        <f t="shared" si="4"/>
        <v>Standard difficulty applied</v>
      </c>
      <c r="W13" s="519" t="str">
        <f>IF(E13="","",IF(AND(V13="Standard difficulty applied",O13&gt;P13),U13,IF(AND(V13="Low Difficulty - only applicable if all habitat created before losses",P13&gt;=O13),"Low",VLOOKUP(F13,'G-3 Multipliers'!$A$2:$E$129,4,FALSE))))</f>
        <v>Medium</v>
      </c>
      <c r="X13" s="523">
        <f>IFERROR(IF(E13="","",VLOOKUP(W13, 'G-3 Multipliers'!$P$2:$Q$6,2,FALSE)),"")</f>
        <v>0.67</v>
      </c>
      <c r="Y13" s="528">
        <f t="shared" si="5"/>
        <v>0.26912411011296</v>
      </c>
      <c r="Z13" s="238"/>
      <c r="AA13" s="239"/>
      <c r="AE13" s="54">
        <f t="shared" si="1"/>
        <v>1</v>
      </c>
    </row>
    <row r="14" spans="1:34" ht="28.5" x14ac:dyDescent="0.2">
      <c r="A14" s="47" t="str">
        <f>IFERROR(INDEX('G-8 Condition Look up'!$I$4:$I$130,MATCH(F14,'G-8 Condition Look up'!$A$4:$A$130,0)),"")</f>
        <v>Cond4</v>
      </c>
      <c r="C14" s="383" t="str">
        <f>IFERROR(INDEX('G-1 All Habitats'!$AG$3:$AG$15,MATCH(D14,'G-1 All Habitats'!$AF$3:$AF$15,0)),"")</f>
        <v>Urban</v>
      </c>
      <c r="D14" s="146" t="s">
        <v>74</v>
      </c>
      <c r="E14" s="79" t="s">
        <v>627</v>
      </c>
      <c r="F14" s="245" t="str">
        <f>IFERROR(INDEX('G-1 All Habitats'!$B$3:$B$129,MATCH(E14,'G-1 All Habitats'!$A$3:$A$129,0)),"")</f>
        <v>Urban - Urban Tree</v>
      </c>
      <c r="G14" s="70">
        <v>0.11799999999999999</v>
      </c>
      <c r="H14" s="497" t="str">
        <f>IF(F14="","",VLOOKUP(F14,'G-1 All Habitats'!$B$2:$M$129,10,FALSE))</f>
        <v>Medium</v>
      </c>
      <c r="I14" s="498">
        <f>IFERROR(VLOOKUP(H14,'G-1 All Habitats'!$V$3:$W$7,2,FALSE),"")</f>
        <v>4</v>
      </c>
      <c r="J14" s="71" t="s">
        <v>20</v>
      </c>
      <c r="K14" s="498">
        <f>IFERROR(INDEX('G-8 Condition Look up'!$A$3:$H$130,MATCH(F14,'G-8 Condition Look up'!$A$3:$A$130,0),MATCH(J14,'G-8 Condition Look up'!$A$3:$H$3,0)),"")</f>
        <v>2</v>
      </c>
      <c r="L14" s="71" t="s">
        <v>921</v>
      </c>
      <c r="M14" s="506" t="str">
        <f>IF(L14="","",IF(VLOOKUP(L14,'G-3 Multipliers'!$L$3:$N$6,2,FALSE)=0,"Spatial Data Missing",VLOOKUP(L14,'G-3 Multipliers'!$L$3:$N$6,2,FALSE)))</f>
        <v>Low Strategic Significance</v>
      </c>
      <c r="N14" s="504">
        <f>IF(L14="","",IF(VLOOKUP(L14,'G-3 Multipliers'!$L$3:$N$6,3,FALSE)=0,"Spatial Data Missing",VLOOKUP(L14,'G-3 Multipliers'!$L$3:$N$6,3,FALSE)))</f>
        <v>1</v>
      </c>
      <c r="O14" s="497">
        <f t="shared" si="0"/>
        <v>27</v>
      </c>
      <c r="P14" s="82"/>
      <c r="Q14" s="82"/>
      <c r="R14" s="506" t="str">
        <f t="shared" si="2"/>
        <v>Standard time to target condition applied</v>
      </c>
      <c r="S14" s="520">
        <f t="shared" si="3"/>
        <v>27</v>
      </c>
      <c r="T14" s="521">
        <f>IFERROR(IF(S14="Check Data ⚠","Check Data ⚠",VLOOKUP(S14,'G-4 Temporal multipliers'!$A$4:$C$37,3,FALSE)),"")</f>
        <v>0.38215316459999998</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Low</v>
      </c>
      <c r="X14" s="523">
        <f>IFERROR(IF(E14="","",VLOOKUP(W14, 'G-3 Multipliers'!$P$2:$Q$6,2,FALSE)),"")</f>
        <v>1</v>
      </c>
      <c r="Y14" s="528">
        <f t="shared" si="5"/>
        <v>0.36075258738239996</v>
      </c>
      <c r="Z14" s="238"/>
      <c r="AA14" s="239"/>
      <c r="AE14" s="54">
        <f t="shared" si="1"/>
        <v>10</v>
      </c>
    </row>
    <row r="15" spans="1:34" x14ac:dyDescent="0.25">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25">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25">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25">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25">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25">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25">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25">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25">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25">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25">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5">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5">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5">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5">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5">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5">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5">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5">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5">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5">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5">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5">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5">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5">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5">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5">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5">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5">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5">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5">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5">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5">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5">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5">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5">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5">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5">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5">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5">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5">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5">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5">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5">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5">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5">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5">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5">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5">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5">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5">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5">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5">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5">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5">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5">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5">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5">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5">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5">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5">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5">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5">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5">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5">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5">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5">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5">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5">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5">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5">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5">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5">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5">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5">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5">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5">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5">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5">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5">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5">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5">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5">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5">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5">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5">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5">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5">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5">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5">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5">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5">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5">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5">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5">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5">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5">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5">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5">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5">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5">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5">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5">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5">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5">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5">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5">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5">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5">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5">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5">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5">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5">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5">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5">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5">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5">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5">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5">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5">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5">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5">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5">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5">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5">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5">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5">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5">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5">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5">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5">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5">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5">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5">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5">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5">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5">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5">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5">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5">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5">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5">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5">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5">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5">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5">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5">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5">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5">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5">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5">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5">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5">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5">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5">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5">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5">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5">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5">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5">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5">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5">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5">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5">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5">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5">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5">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5">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5">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5">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5">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5">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5">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5">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5">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5">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5">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5">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5">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5">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5">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5">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5">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5">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5">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5">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5">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5">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5">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5">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5">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5">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5">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5">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5">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5">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5">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5">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5">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5">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5">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5">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5">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5">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5">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5">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5">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5">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5">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5">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5">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5">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5">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5">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5">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5">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5">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5">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5">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5">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5">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5">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5">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5">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5">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5">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5">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5">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5">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5">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5">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5">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5">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5">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5">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5">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5">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5">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5">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5">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5">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75" thickBot="1" x14ac:dyDescent="0.3">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75" thickBot="1" x14ac:dyDescent="0.3">
      <c r="E257" s="178" t="s">
        <v>243</v>
      </c>
      <c r="F257" s="339" t="s">
        <v>244</v>
      </c>
      <c r="G257" s="518">
        <f>SUM(G11:G256)</f>
        <v>0.46800000000000003</v>
      </c>
      <c r="T257" s="86"/>
      <c r="U257" s="86"/>
      <c r="V257" s="86"/>
      <c r="W257" s="86"/>
      <c r="X257" s="173" t="s">
        <v>245</v>
      </c>
      <c r="Y257" s="518">
        <f>SUM(Y11:Y256)</f>
        <v>0.90007669749536001</v>
      </c>
    </row>
    <row r="258" spans="5:25" ht="15.75" thickBot="1" x14ac:dyDescent="0.3">
      <c r="E258" s="47"/>
    </row>
    <row r="259" spans="5:25" ht="15.75" thickBot="1" x14ac:dyDescent="0.3">
      <c r="E259" s="501" t="s">
        <v>246</v>
      </c>
      <c r="G259" s="518">
        <f>IF('Detailed Results'!$K$40&gt;0,"Error",SUMIFS($G$11:$G$256,$F$11:$F$256,"&lt;&gt;"&amp;'G-1 All Habitats'!B73,$F$11:$F$256,"&lt;&gt;"&amp;'G-1 All Habitats'!B65,$F$11:$F$256,"&lt;&gt;"&amp;'G-1 All Habitats'!B66))</f>
        <v>0.35000000000000003</v>
      </c>
    </row>
    <row r="260" spans="5:25" x14ac:dyDescent="0.25">
      <c r="E260" s="47"/>
    </row>
    <row r="261" spans="5:25" x14ac:dyDescent="0.25">
      <c r="E261" s="47"/>
    </row>
    <row r="262" spans="5:25" x14ac:dyDescent="0.25">
      <c r="E262" s="47"/>
    </row>
    <row r="263" spans="5:25" x14ac:dyDescent="0.25">
      <c r="E263" s="47"/>
    </row>
    <row r="264" spans="5:25" x14ac:dyDescent="0.25">
      <c r="E264" s="47"/>
    </row>
    <row r="265" spans="5:25" x14ac:dyDescent="0.25">
      <c r="E265" s="47"/>
    </row>
    <row r="266" spans="5:25" x14ac:dyDescent="0.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sheetView>
  </sheetViews>
  <sheetFormatPr defaultColWidth="8.85546875" defaultRowHeight="15" zeroHeight="1" x14ac:dyDescent="0.25"/>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75" thickBot="1" x14ac:dyDescent="0.3"/>
    <row r="2" spans="1:42" ht="19.5" customHeight="1" thickBot="1" x14ac:dyDescent="0.3">
      <c r="E2" s="922" t="str">
        <f>IF(Start!$F$12="","",Start!$F$12)</f>
        <v>16-18 Oatlands Drive</v>
      </c>
      <c r="F2" s="923"/>
      <c r="G2" s="924"/>
      <c r="AD2" s="929" t="str">
        <f>IF(OR(COUNTIF($AD$12:AD257,"*30+*")&gt;0,COUNTIF(AH12:AH257,"*30+*")&gt;0),"Note; Habitat selected has a time to target condition greater than 30 years. Non standard agreement may be required.","")</f>
        <v/>
      </c>
      <c r="AE2" s="929"/>
      <c r="AF2" s="929"/>
      <c r="AG2" s="929"/>
      <c r="AH2" s="929"/>
      <c r="AI2" s="929"/>
    </row>
    <row r="3" spans="1:42" ht="13.15" customHeight="1" x14ac:dyDescent="0.25">
      <c r="E3" s="890" t="str">
        <f ca="1">MID(CELL("filename",D1),FIND("]",CELL("filename",D1))+1,256)</f>
        <v>A-3 Site Habitat Enhancement</v>
      </c>
      <c r="F3" s="891"/>
      <c r="G3" s="892"/>
      <c r="AD3" s="929"/>
      <c r="AE3" s="929"/>
      <c r="AF3" s="929"/>
      <c r="AG3" s="929"/>
      <c r="AH3" s="929"/>
      <c r="AI3" s="929"/>
    </row>
    <row r="4" spans="1:42" ht="15.75" customHeight="1" thickBot="1" x14ac:dyDescent="0.3">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5">
      <c r="AD5" s="929" t="str">
        <f>IF(Q12&lt;&gt;A12,"Change in broad habitat type detected. Check compliance with guidance.","")</f>
        <v/>
      </c>
      <c r="AE5" s="929"/>
      <c r="AF5" s="929"/>
      <c r="AG5" s="929"/>
      <c r="AH5" s="929"/>
      <c r="AI5" s="929"/>
    </row>
    <row r="6" spans="1:42" ht="15.75" customHeight="1" x14ac:dyDescent="0.25">
      <c r="AD6" s="929"/>
      <c r="AE6" s="929"/>
      <c r="AF6" s="929"/>
      <c r="AG6" s="929"/>
      <c r="AH6" s="929"/>
      <c r="AI6" s="929"/>
    </row>
    <row r="7" spans="1:42" x14ac:dyDescent="0.25">
      <c r="E7" s="48"/>
      <c r="F7" s="48"/>
    </row>
    <row r="8" spans="1:42" ht="18" customHeight="1" thickBot="1" x14ac:dyDescent="0.3"/>
    <row r="9" spans="1:42" ht="15.6" customHeight="1" thickBot="1" x14ac:dyDescent="0.3">
      <c r="F9" s="55"/>
      <c r="G9" s="55"/>
      <c r="H9" s="55"/>
      <c r="I9" s="55"/>
      <c r="J9" s="55"/>
      <c r="K9" s="55"/>
      <c r="L9" s="55"/>
      <c r="M9" s="55"/>
      <c r="N9" s="55"/>
      <c r="O9" s="55"/>
      <c r="P9" s="55"/>
      <c r="Q9" s="917" t="s">
        <v>225</v>
      </c>
      <c r="R9" s="918"/>
      <c r="S9" s="918"/>
      <c r="T9" s="918"/>
      <c r="U9" s="918"/>
      <c r="V9" s="918"/>
      <c r="W9" s="918"/>
      <c r="X9" s="918"/>
      <c r="Y9" s="918"/>
      <c r="Z9" s="918"/>
      <c r="AA9" s="918"/>
      <c r="AB9" s="918"/>
      <c r="AC9" s="918"/>
      <c r="AD9" s="918"/>
      <c r="AE9" s="918"/>
      <c r="AF9" s="918"/>
      <c r="AG9" s="918"/>
      <c r="AH9" s="918"/>
      <c r="AI9" s="918"/>
      <c r="AJ9" s="918"/>
      <c r="AK9" s="918"/>
      <c r="AL9" s="918"/>
      <c r="AM9" s="919"/>
    </row>
    <row r="10" spans="1:42" ht="28.15" customHeight="1" thickBot="1" x14ac:dyDescent="0.3">
      <c r="F10" s="917" t="s">
        <v>247</v>
      </c>
      <c r="G10" s="918"/>
      <c r="H10" s="918"/>
      <c r="I10" s="918"/>
      <c r="J10" s="918"/>
      <c r="K10" s="918"/>
      <c r="L10" s="918"/>
      <c r="M10" s="918"/>
      <c r="N10" s="918"/>
      <c r="O10" s="919"/>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43.5" thickBot="1" x14ac:dyDescent="0.3">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x14ac:dyDescent="0.25">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x14ac:dyDescent="0.25">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x14ac:dyDescent="0.25">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25">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25">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25">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25">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25">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25">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25">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25">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25">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25">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25">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25">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25">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25">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25">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25">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25">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25">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25">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25">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25">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25">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25">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25">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25">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25">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25">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25">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25">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25">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25">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25">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25">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25">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25">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25">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25">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25">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25">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25">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25">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25">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25">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25">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25">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25">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25">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25">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25">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25">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25">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25">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25">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25">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25">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25">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25">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25">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25">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25">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25">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25">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25">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25">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25">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25">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25">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25">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25">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25">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25">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25">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25">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25">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25">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25">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25">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25">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25">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25">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25">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25">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25">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25">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25">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25">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25">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25">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25">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25">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25">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25">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25">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25">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25">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25">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25">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25">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25">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25">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25">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25">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25">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25">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25">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25">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25">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25">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25">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25">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25">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25">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25">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25">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25">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25">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25">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25">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25">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25">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25">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25">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25">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25">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25">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25">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25">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25">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25">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25">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25">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25">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25">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25">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25">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25">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25">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25">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25">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25">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25">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25">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25">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25">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25">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25">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25">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25">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25">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25">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25">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25">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25">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25">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25">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25">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25">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25">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25">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25">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25">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25">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25">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25">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25">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25">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25">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25">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25">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25">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25">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25">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25">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25">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25">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25">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25">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25">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25">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25">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25">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25">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25">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25">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25">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25">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25">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25">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25">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25">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25">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25">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25">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25">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25">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25">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25">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25">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25">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25">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25">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25">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25">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25">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25">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25">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25">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25">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25">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25">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25">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25">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25">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25">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25">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25">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25">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25">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25">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25">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25">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25">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25">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25">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25">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25">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25">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25">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25">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25">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25">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25">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25">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25">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25">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25">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25">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25">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25">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25">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25">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25">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5.75" thickBot="1" x14ac:dyDescent="0.3">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5.75" thickBot="1" x14ac:dyDescent="0.3">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8.75" x14ac:dyDescent="0.3">
      <c r="V259" s="921" t="str">
        <f>IF(V258&lt;&gt;'A-1 Site Habitat Baseline'!T259,"Error - Area of habitat enhancement must match the area from sheet A1 ▲","")</f>
        <v/>
      </c>
      <c r="W259" s="921"/>
      <c r="X259" s="921"/>
      <c r="Y259" s="921"/>
      <c r="Z259" s="921"/>
      <c r="AA259" s="921"/>
    </row>
    <row r="260" spans="1:42" x14ac:dyDescent="0.25"/>
    <row r="261" spans="1:42" x14ac:dyDescent="0.25"/>
    <row r="262" spans="1:42" x14ac:dyDescent="0.25"/>
    <row r="263" spans="1:42" x14ac:dyDescent="0.25"/>
    <row r="264" spans="1:42" x14ac:dyDescent="0.25"/>
    <row r="265" spans="1:42" x14ac:dyDescent="0.25"/>
    <row r="266" spans="1:42" x14ac:dyDescent="0.25"/>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5" zeroHeight="1" x14ac:dyDescent="0.25"/>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3"/>
    <row r="2" spans="1:43" ht="19.5" customHeight="1" thickBot="1" x14ac:dyDescent="0.3">
      <c r="D2" s="946" t="str">
        <f>IF(Start!F12="","",Start!F12)</f>
        <v>16-18 Oatlands Drive</v>
      </c>
      <c r="E2" s="947"/>
      <c r="F2" s="948"/>
    </row>
    <row r="3" spans="1:43" ht="15" customHeight="1" x14ac:dyDescent="0.25">
      <c r="D3" s="940" t="str">
        <f ca="1">MID(CELL("filename",C1),FIND("]",CELL("filename",C1))+1,256)</f>
        <v>D-1 Off Site Habitat Baseline</v>
      </c>
      <c r="E3" s="941"/>
      <c r="F3" s="942"/>
    </row>
    <row r="4" spans="1:43" ht="19.899999999999999" customHeight="1" thickBot="1" x14ac:dyDescent="0.3">
      <c r="D4" s="943"/>
      <c r="E4" s="944"/>
      <c r="F4" s="945"/>
    </row>
    <row r="5" spans="1:43" ht="24" customHeight="1" x14ac:dyDescent="0.25"/>
    <row r="6" spans="1:43" ht="15.75" customHeight="1" x14ac:dyDescent="0.25"/>
    <row r="7" spans="1:43" ht="16.149999999999999" customHeight="1" x14ac:dyDescent="0.25">
      <c r="D7" s="132"/>
      <c r="E7" s="132"/>
      <c r="F7" s="132"/>
      <c r="M7" s="131"/>
    </row>
    <row r="8" spans="1:43" ht="22.9" customHeight="1" thickBot="1" x14ac:dyDescent="0.3">
      <c r="D8" s="132"/>
      <c r="E8" s="132"/>
      <c r="F8" s="132"/>
    </row>
    <row r="9" spans="1:43" s="42" customFormat="1" ht="30" customHeight="1" thickBot="1" x14ac:dyDescent="0.3">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25">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5">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5">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5">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5">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5">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5">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5">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5">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5">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5">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5">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5">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5">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5">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5">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5">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5">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5">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5">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5">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5">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5">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5">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5">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5">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5">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5">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5">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5">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5">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5">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5">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5">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5">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5">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5">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5">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5">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5">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5">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5">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5">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5">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5">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5">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5">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5">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5">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5">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5">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5">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5">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5">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5">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5">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5">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5">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5">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5">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5">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5">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5">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5">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5">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5">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5">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5">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5">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5">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5">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5">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5">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5">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5">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5">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5">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5">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5">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5">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5">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5">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5">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5">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5">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5">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5">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5">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5">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5">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5">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5">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5">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5">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5">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5">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5">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5">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5">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5">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5">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5">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5">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5">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5">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5">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5">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5">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5">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5">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5">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5">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5">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5">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5">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5">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5">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5">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5">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5">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5">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5">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5">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5">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5">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5">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5">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5">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5">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5">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5">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5">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5">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5">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5">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5">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5">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5">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5">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5">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5">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5">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5">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5">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5">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5">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5">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5">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5">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5">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5">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5">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5">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5">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5">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5">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5">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5">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5">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5">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5">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5">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5">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5">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5">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5">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5">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5">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5">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5">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5">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5">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5">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5">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5">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5">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5">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5">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5">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5">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5">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5">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5">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5">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5">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5">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5">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5">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5">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5">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5">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5">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5">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5">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5">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5">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5">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5">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5">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5">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5">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5">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5">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5">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5">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5">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5">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5">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5">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5">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5">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5">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5">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5">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5">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5">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5">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5">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5">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5">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5">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5">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5">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5">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5">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5">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5">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5">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5">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5">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5">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5">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5">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5">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5">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5">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5">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5">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5">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5">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5">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5">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5">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5">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5">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5">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5">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75" thickBot="1" x14ac:dyDescent="0.3">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75" thickBot="1" x14ac:dyDescent="0.3">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75" thickBot="1" x14ac:dyDescent="0.3">
      <c r="R260" s="166"/>
      <c r="S260" s="166"/>
      <c r="T260" s="166"/>
      <c r="U260" s="166"/>
      <c r="V260" s="166"/>
      <c r="W260" s="166"/>
      <c r="X260" s="166"/>
    </row>
    <row r="261" spans="1:43" ht="35.25" customHeight="1" thickBot="1" x14ac:dyDescent="0.3">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25">
      <c r="D262" s="132"/>
      <c r="E262" s="132"/>
      <c r="F262" s="132"/>
    </row>
    <row r="263" spans="1:43" x14ac:dyDescent="0.25">
      <c r="D263" s="132"/>
      <c r="E263" s="132"/>
      <c r="F263" s="132"/>
    </row>
    <row r="264" spans="1:43" x14ac:dyDescent="0.25">
      <c r="D264" s="132"/>
      <c r="E264" s="132"/>
      <c r="F264" s="132"/>
    </row>
    <row r="265" spans="1:43" x14ac:dyDescent="0.25">
      <c r="D265" s="132"/>
      <c r="E265" s="132"/>
      <c r="F265" s="132"/>
    </row>
    <row r="266" spans="1:43" x14ac:dyDescent="0.25">
      <c r="D266" s="132"/>
      <c r="E266" s="132"/>
      <c r="F266" s="132"/>
    </row>
    <row r="267" spans="1:43" x14ac:dyDescent="0.25">
      <c r="D267" s="132"/>
      <c r="E267" s="132"/>
      <c r="F267" s="132"/>
    </row>
    <row r="268" spans="1:43" x14ac:dyDescent="0.25">
      <c r="D268" s="132"/>
      <c r="E268" s="132"/>
      <c r="F268" s="132"/>
    </row>
    <row r="269" spans="1:43" x14ac:dyDescent="0.25">
      <c r="D269" s="132"/>
      <c r="E269" s="132"/>
      <c r="F269" s="132"/>
    </row>
    <row r="270" spans="1:43" x14ac:dyDescent="0.25">
      <c r="D270" s="132"/>
      <c r="E270" s="132"/>
      <c r="F270" s="132"/>
    </row>
    <row r="271" spans="1:43" x14ac:dyDescent="0.25">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5"/>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75" thickBot="1" x14ac:dyDescent="0.3"/>
    <row r="2" spans="1:29" ht="25.9" customHeight="1" thickBot="1" x14ac:dyDescent="0.3">
      <c r="D2" s="946" t="str">
        <f>IF(Start!F12="","",Start!F12)</f>
        <v>16-18 Oatlands Drive</v>
      </c>
      <c r="E2" s="947"/>
      <c r="G2" s="241"/>
      <c r="O2" s="908" t="str">
        <f>IF(OR(COUNTIF($O$11:O256,"*30+*")&gt;0,COUNTIF($S$11:S256,"*30+*")&gt;0),"Note; Habitat selected has a time to target condition greater than 30 years. Non standard agreement may be required. ⚠","")</f>
        <v/>
      </c>
      <c r="P2" s="908"/>
      <c r="Q2" s="908"/>
      <c r="R2" s="908"/>
      <c r="S2" s="908"/>
      <c r="T2" s="908"/>
    </row>
    <row r="3" spans="1:29" ht="19.899999999999999" customHeight="1" x14ac:dyDescent="0.25">
      <c r="D3" s="940" t="str">
        <f ca="1">MID(CELL("filename",C1),FIND("]",CELL("filename",C1))+1,256)</f>
        <v>D-2 Off Site Habitat Creation</v>
      </c>
      <c r="E3" s="941"/>
      <c r="G3" s="241"/>
      <c r="O3" s="908"/>
      <c r="P3" s="908"/>
      <c r="Q3" s="908"/>
      <c r="R3" s="908"/>
      <c r="S3" s="908"/>
      <c r="T3" s="908"/>
    </row>
    <row r="4" spans="1:29" ht="15.75" customHeight="1" thickBot="1" x14ac:dyDescent="0.3">
      <c r="D4" s="943"/>
      <c r="E4" s="944"/>
      <c r="G4" s="241"/>
      <c r="M4" s="131"/>
      <c r="O4" s="398"/>
      <c r="P4" s="398"/>
      <c r="Q4" s="398"/>
      <c r="R4" s="398"/>
      <c r="S4" s="398"/>
    </row>
    <row r="5" spans="1:29" ht="29.45" customHeight="1" x14ac:dyDescent="0.3">
      <c r="M5" s="33"/>
      <c r="N5" s="193"/>
      <c r="O5" s="908" t="str">
        <f>IFERROR(IF(OR((G259-'D-1 Off Site Habitat Baseline'!W261)&gt;0.01,(G259-'D-1 Off Site Habitat Baseline'!W261)&lt;-0.01),"Check Areas - Area cross check failed (Baseline habitat lost does not match area of new habitat creation)",""),"")</f>
        <v/>
      </c>
      <c r="P5" s="908"/>
      <c r="Q5" s="908"/>
      <c r="R5" s="908"/>
      <c r="S5" s="908"/>
      <c r="T5" s="908"/>
      <c r="U5" s="399"/>
      <c r="V5" s="399"/>
    </row>
    <row r="6" spans="1:29" ht="31.15" customHeight="1" x14ac:dyDescent="0.25">
      <c r="O6" s="908"/>
      <c r="P6" s="908"/>
      <c r="Q6" s="908"/>
      <c r="R6" s="908"/>
      <c r="S6" s="908"/>
      <c r="T6" s="908"/>
    </row>
    <row r="7" spans="1:29" ht="15.75" thickBot="1" x14ac:dyDescent="0.3"/>
    <row r="8" spans="1:29" ht="15.75" thickBot="1" x14ac:dyDescent="0.3">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3">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2.75" x14ac:dyDescent="0.25">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5" x14ac:dyDescent="0.2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5" x14ac:dyDescent="0.2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5" x14ac:dyDescent="0.2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5" x14ac:dyDescent="0.2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5" x14ac:dyDescent="0.2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5" x14ac:dyDescent="0.2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5" x14ac:dyDescent="0.2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5" x14ac:dyDescent="0.2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5" x14ac:dyDescent="0.2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5" x14ac:dyDescent="0.2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5" x14ac:dyDescent="0.2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5" x14ac:dyDescent="0.2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5" x14ac:dyDescent="0.2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5" x14ac:dyDescent="0.2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5" x14ac:dyDescent="0.2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5" x14ac:dyDescent="0.2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5" x14ac:dyDescent="0.2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5" x14ac:dyDescent="0.2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5" x14ac:dyDescent="0.2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5" x14ac:dyDescent="0.2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5" x14ac:dyDescent="0.2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5" x14ac:dyDescent="0.2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5" x14ac:dyDescent="0.2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5" x14ac:dyDescent="0.2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5" x14ac:dyDescent="0.2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5" x14ac:dyDescent="0.2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5" x14ac:dyDescent="0.2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5" x14ac:dyDescent="0.2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5" x14ac:dyDescent="0.2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5" x14ac:dyDescent="0.2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5" x14ac:dyDescent="0.2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5" x14ac:dyDescent="0.2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5" x14ac:dyDescent="0.2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5" x14ac:dyDescent="0.2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5" x14ac:dyDescent="0.2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5" x14ac:dyDescent="0.2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5" x14ac:dyDescent="0.2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5" x14ac:dyDescent="0.2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5" x14ac:dyDescent="0.2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5" x14ac:dyDescent="0.2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5" x14ac:dyDescent="0.2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5" x14ac:dyDescent="0.2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5" x14ac:dyDescent="0.2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5" x14ac:dyDescent="0.2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5" x14ac:dyDescent="0.2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5" x14ac:dyDescent="0.2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5" x14ac:dyDescent="0.2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5" x14ac:dyDescent="0.2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5" x14ac:dyDescent="0.2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5" x14ac:dyDescent="0.2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5" x14ac:dyDescent="0.2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5" x14ac:dyDescent="0.2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5" x14ac:dyDescent="0.2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5" x14ac:dyDescent="0.2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5" x14ac:dyDescent="0.2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5" x14ac:dyDescent="0.2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5" x14ac:dyDescent="0.2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5" x14ac:dyDescent="0.2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5" x14ac:dyDescent="0.2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5" x14ac:dyDescent="0.2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5" x14ac:dyDescent="0.2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5" x14ac:dyDescent="0.2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5" x14ac:dyDescent="0.2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5" x14ac:dyDescent="0.2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5" x14ac:dyDescent="0.2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5" x14ac:dyDescent="0.2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5" x14ac:dyDescent="0.2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5" x14ac:dyDescent="0.2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5" x14ac:dyDescent="0.2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5" x14ac:dyDescent="0.2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5" x14ac:dyDescent="0.2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5" x14ac:dyDescent="0.2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5" x14ac:dyDescent="0.2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5" x14ac:dyDescent="0.2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5" x14ac:dyDescent="0.2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5" x14ac:dyDescent="0.2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5" x14ac:dyDescent="0.2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5" x14ac:dyDescent="0.2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5" x14ac:dyDescent="0.2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5" x14ac:dyDescent="0.2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5" x14ac:dyDescent="0.2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5" x14ac:dyDescent="0.2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5" x14ac:dyDescent="0.2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5" x14ac:dyDescent="0.2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5" x14ac:dyDescent="0.2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5" x14ac:dyDescent="0.2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5" x14ac:dyDescent="0.2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5" x14ac:dyDescent="0.2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5" x14ac:dyDescent="0.2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5" x14ac:dyDescent="0.2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5" x14ac:dyDescent="0.2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5" x14ac:dyDescent="0.2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5" x14ac:dyDescent="0.2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5" x14ac:dyDescent="0.2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5" x14ac:dyDescent="0.2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5" x14ac:dyDescent="0.2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5" x14ac:dyDescent="0.2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5" x14ac:dyDescent="0.2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5" x14ac:dyDescent="0.2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5" x14ac:dyDescent="0.2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5" x14ac:dyDescent="0.2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5" x14ac:dyDescent="0.2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5" x14ac:dyDescent="0.2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5" x14ac:dyDescent="0.2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5" x14ac:dyDescent="0.2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5" x14ac:dyDescent="0.2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5" x14ac:dyDescent="0.2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5" x14ac:dyDescent="0.2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5" x14ac:dyDescent="0.2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5" x14ac:dyDescent="0.2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5" x14ac:dyDescent="0.2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5" x14ac:dyDescent="0.2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5" x14ac:dyDescent="0.2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5" x14ac:dyDescent="0.2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5" x14ac:dyDescent="0.2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5" x14ac:dyDescent="0.2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5" x14ac:dyDescent="0.2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5" x14ac:dyDescent="0.2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5" x14ac:dyDescent="0.2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5" x14ac:dyDescent="0.2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5" x14ac:dyDescent="0.2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5" x14ac:dyDescent="0.2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5" x14ac:dyDescent="0.2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5" x14ac:dyDescent="0.2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5" x14ac:dyDescent="0.2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5" x14ac:dyDescent="0.2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5" x14ac:dyDescent="0.2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5" x14ac:dyDescent="0.2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5" x14ac:dyDescent="0.2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5" x14ac:dyDescent="0.2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5" x14ac:dyDescent="0.2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5" x14ac:dyDescent="0.2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5" x14ac:dyDescent="0.2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5" x14ac:dyDescent="0.2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5" x14ac:dyDescent="0.2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5" x14ac:dyDescent="0.2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5" x14ac:dyDescent="0.2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5" x14ac:dyDescent="0.2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5" x14ac:dyDescent="0.2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5" x14ac:dyDescent="0.2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5" x14ac:dyDescent="0.2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5" x14ac:dyDescent="0.2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5" x14ac:dyDescent="0.2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5" x14ac:dyDescent="0.2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5" x14ac:dyDescent="0.2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5" x14ac:dyDescent="0.2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5" x14ac:dyDescent="0.2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5" x14ac:dyDescent="0.2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5" x14ac:dyDescent="0.2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5" x14ac:dyDescent="0.2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5" x14ac:dyDescent="0.2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5" x14ac:dyDescent="0.2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5" x14ac:dyDescent="0.2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5" x14ac:dyDescent="0.2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5" x14ac:dyDescent="0.2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5" x14ac:dyDescent="0.2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5" x14ac:dyDescent="0.2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5" x14ac:dyDescent="0.2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5" x14ac:dyDescent="0.2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5" x14ac:dyDescent="0.2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5" x14ac:dyDescent="0.2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5" x14ac:dyDescent="0.2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5" x14ac:dyDescent="0.2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5" x14ac:dyDescent="0.2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5" x14ac:dyDescent="0.2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5" x14ac:dyDescent="0.2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5" x14ac:dyDescent="0.2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5" x14ac:dyDescent="0.2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5" x14ac:dyDescent="0.2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5" x14ac:dyDescent="0.2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5" x14ac:dyDescent="0.2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5" x14ac:dyDescent="0.2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5" x14ac:dyDescent="0.2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5" x14ac:dyDescent="0.2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5" x14ac:dyDescent="0.2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5" x14ac:dyDescent="0.2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5" x14ac:dyDescent="0.2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5" x14ac:dyDescent="0.2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5" x14ac:dyDescent="0.2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5" x14ac:dyDescent="0.2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5" x14ac:dyDescent="0.2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5" x14ac:dyDescent="0.2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5" x14ac:dyDescent="0.2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5" x14ac:dyDescent="0.2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5" x14ac:dyDescent="0.2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5" x14ac:dyDescent="0.2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5" x14ac:dyDescent="0.2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5" x14ac:dyDescent="0.2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5" x14ac:dyDescent="0.2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5" x14ac:dyDescent="0.2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5" x14ac:dyDescent="0.2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5" x14ac:dyDescent="0.2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5" x14ac:dyDescent="0.2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5" x14ac:dyDescent="0.2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5" x14ac:dyDescent="0.2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5" x14ac:dyDescent="0.2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5" x14ac:dyDescent="0.2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5" x14ac:dyDescent="0.2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5" x14ac:dyDescent="0.2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5" x14ac:dyDescent="0.2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5" x14ac:dyDescent="0.2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5" x14ac:dyDescent="0.2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5" x14ac:dyDescent="0.2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5" x14ac:dyDescent="0.2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5" x14ac:dyDescent="0.2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5" x14ac:dyDescent="0.2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5" x14ac:dyDescent="0.2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5" x14ac:dyDescent="0.2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5" x14ac:dyDescent="0.2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5" x14ac:dyDescent="0.2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5" x14ac:dyDescent="0.2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5" x14ac:dyDescent="0.2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5" x14ac:dyDescent="0.2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5" x14ac:dyDescent="0.2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5" x14ac:dyDescent="0.2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5" x14ac:dyDescent="0.2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5" x14ac:dyDescent="0.2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5" x14ac:dyDescent="0.2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5" x14ac:dyDescent="0.2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5" x14ac:dyDescent="0.2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5" x14ac:dyDescent="0.2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5" x14ac:dyDescent="0.2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5" x14ac:dyDescent="0.2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5" x14ac:dyDescent="0.2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5" x14ac:dyDescent="0.2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5" x14ac:dyDescent="0.2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5" x14ac:dyDescent="0.2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5" x14ac:dyDescent="0.2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5" x14ac:dyDescent="0.2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5" x14ac:dyDescent="0.2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5" x14ac:dyDescent="0.2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5" x14ac:dyDescent="0.2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5" x14ac:dyDescent="0.2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5" x14ac:dyDescent="0.2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5" x14ac:dyDescent="0.2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5" x14ac:dyDescent="0.2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5" x14ac:dyDescent="0.2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5" x14ac:dyDescent="0.2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5" x14ac:dyDescent="0.2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5" x14ac:dyDescent="0.2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5" x14ac:dyDescent="0.2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5" x14ac:dyDescent="0.2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5" x14ac:dyDescent="0.2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5" x14ac:dyDescent="0.2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5" x14ac:dyDescent="0.2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75" thickBot="1" x14ac:dyDescent="0.3">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75" thickBot="1" x14ac:dyDescent="0.3">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5.75" thickBot="1" x14ac:dyDescent="0.3"/>
    <row r="259" spans="5:27" ht="15.75" thickBot="1" x14ac:dyDescent="0.3">
      <c r="E259" s="501" t="s">
        <v>246</v>
      </c>
      <c r="F259" s="47"/>
      <c r="G259" s="518">
        <f>IF('Detailed Results'!$K$40&gt;0,"Error",SUMIFS($G$11:$G$256,$F$11:$F$256,"&lt;&gt;"&amp;'G-1 All Habitats'!B73,$F$11:$F$256,"&lt;&gt;"&amp;'G-1 All Habitats'!B65,$F$11:$F$256,"&lt;&gt;"&amp;'G-1 All Habitats'!B66))</f>
        <v>0</v>
      </c>
    </row>
    <row r="260" spans="5:27" ht="15" x14ac:dyDescent="0.25"/>
    <row r="261" spans="5:27" ht="15" x14ac:dyDescent="0.25"/>
    <row r="262" spans="5:27" ht="15" x14ac:dyDescent="0.25"/>
    <row r="263" spans="5:27" ht="15" x14ac:dyDescent="0.25"/>
    <row r="264" spans="5:27" ht="15" hidden="1" x14ac:dyDescent="0.25">
      <c r="T264" s="31" t="s">
        <v>285</v>
      </c>
      <c r="U264" s="31" t="s">
        <v>285</v>
      </c>
      <c r="X264" s="31" t="s">
        <v>285</v>
      </c>
      <c r="AA264" s="31" t="s">
        <v>285</v>
      </c>
    </row>
    <row r="265" spans="5:27" ht="15" hidden="1" x14ac:dyDescent="0.25">
      <c r="T265" s="31" t="s">
        <v>285</v>
      </c>
      <c r="U265" s="31" t="s">
        <v>285</v>
      </c>
      <c r="X265" s="31" t="s">
        <v>285</v>
      </c>
      <c r="AA265" s="31" t="s">
        <v>285</v>
      </c>
    </row>
    <row r="266" spans="5:27" ht="15" hidden="1" x14ac:dyDescent="0.25"/>
    <row r="267" spans="5:27" ht="15" hidden="1" x14ac:dyDescent="0.25"/>
    <row r="268" spans="5:27" ht="15" hidden="1" x14ac:dyDescent="0.25"/>
    <row r="269" spans="5:27" ht="15" hidden="1" x14ac:dyDescent="0.25"/>
    <row r="270" spans="5:27" ht="15" hidden="1" x14ac:dyDescent="0.25"/>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5" zeroHeight="1" x14ac:dyDescent="0.25"/>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3"/>
    <row r="2" spans="1:44" ht="19.899999999999999" customHeight="1" thickBot="1" x14ac:dyDescent="0.3">
      <c r="E2" s="743" t="str">
        <f>IF(Start!$F$12="","",Start!$F$12)</f>
        <v>16-18 Oatlands Drive</v>
      </c>
      <c r="F2" s="744"/>
      <c r="G2" s="745"/>
      <c r="AD2" s="909" t="str">
        <f>IF(OR(COUNTIF($AD$12:AD257,"*30+*")&gt;0,COUNTIF(AH12:AH257,"*30+*")&gt;0),"Note; Habitat selected has a time to target condition greater than 30 years. Non standard agreement may be required. ⚠","")</f>
        <v/>
      </c>
      <c r="AE2" s="909"/>
      <c r="AF2" s="909"/>
      <c r="AG2" s="909"/>
      <c r="AH2" s="909"/>
      <c r="AI2" s="909"/>
    </row>
    <row r="3" spans="1:44" ht="15.75" customHeight="1" thickBot="1" x14ac:dyDescent="0.3">
      <c r="E3" s="971" t="str">
        <f ca="1">MID(CELL("filename",E1),FIND("]",CELL("filename",E1))+1,256)</f>
        <v>D-3 Off Site Habitat Enhancment</v>
      </c>
      <c r="F3" s="972"/>
      <c r="G3" s="973"/>
      <c r="AD3" s="909"/>
      <c r="AE3" s="909"/>
      <c r="AF3" s="909"/>
      <c r="AG3" s="909"/>
      <c r="AH3" s="909"/>
      <c r="AI3" s="909"/>
    </row>
    <row r="4" spans="1:44" ht="15.75" customHeight="1" thickBot="1" x14ac:dyDescent="0.35">
      <c r="E4" s="971"/>
      <c r="F4" s="972"/>
      <c r="G4" s="973"/>
      <c r="AB4" s="33"/>
      <c r="AC4" s="193"/>
      <c r="AD4" s="447"/>
      <c r="AE4" s="447"/>
      <c r="AF4" s="447"/>
      <c r="AG4" s="447"/>
      <c r="AH4" s="193"/>
      <c r="AI4" s="193"/>
      <c r="AJ4" s="193"/>
      <c r="AK4" s="193"/>
      <c r="AL4" s="193"/>
      <c r="AM4" s="193"/>
      <c r="AN4" s="193"/>
    </row>
    <row r="5" spans="1:44" ht="15" customHeight="1" x14ac:dyDescent="0.25">
      <c r="AD5" s="929" t="str">
        <f>IF(Q12&lt;&gt;A12,"Change in broad habitat type detected. Check compliance with guidance.","")</f>
        <v/>
      </c>
      <c r="AE5" s="929"/>
      <c r="AF5" s="929"/>
      <c r="AG5" s="929"/>
      <c r="AH5" s="929"/>
      <c r="AI5" s="929"/>
    </row>
    <row r="6" spans="1:44" ht="15.75" customHeight="1" x14ac:dyDescent="0.25">
      <c r="AD6" s="929"/>
      <c r="AE6" s="929"/>
      <c r="AF6" s="929"/>
      <c r="AG6" s="929"/>
      <c r="AH6" s="929"/>
      <c r="AI6" s="929"/>
    </row>
    <row r="7" spans="1:44" x14ac:dyDescent="0.25">
      <c r="F7" s="132"/>
      <c r="G7" s="131"/>
    </row>
    <row r="8" spans="1:44" ht="15.75" thickBot="1" x14ac:dyDescent="0.3"/>
    <row r="9" spans="1:44" ht="15.75" thickBot="1" x14ac:dyDescent="0.3">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3">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 customHeight="1" thickBot="1" x14ac:dyDescent="0.3">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x14ac:dyDescent="0.25">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5">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5">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5">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5">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5">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5">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5">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5">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5">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5">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5">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5">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5">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5">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5">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5">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5">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5">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5">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5">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5">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5">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5">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5">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5">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5">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5">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5">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5">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5">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5">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5">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5">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5">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5">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5">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5">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5">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5">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5">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5">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5">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5">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5">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5">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5">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5">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5">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5">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5">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5">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5">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5">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5">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5">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5">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5">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5">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5">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5">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5">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5">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5">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5">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5">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5">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5">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5">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5">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5">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5">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5">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5">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5">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5">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5">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5">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5">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5">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5">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5">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5">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5">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5">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5">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5">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5">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5">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5">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5">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5">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5">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5">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5">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5">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5">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5">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5">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5">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5">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5">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5">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5">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5">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5">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5">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5">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5">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5">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5">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5">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5">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5">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5">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5">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5">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5">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5">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5">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5">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5">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5">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5">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5">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5">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5">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5">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5">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5">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5">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5">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5">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5">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5">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5">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5">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5">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5">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5">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5">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5">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5">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5">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5">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5">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5">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5">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5">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5">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5">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5">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5">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5">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5">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5">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5">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5">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5">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5">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5">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5">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5">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5">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5">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5">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5">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5">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5">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5">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5">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5">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5">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5">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5">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5">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5">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5">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5">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5">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5">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5">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5">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5">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5">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5">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5">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5">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5">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5">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5">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5">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5">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5">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5">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5">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5">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5">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5">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5">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5">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5">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5">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5">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5">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5">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5">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5">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5">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5">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5">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5">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5">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5">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5">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5">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5">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5">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5">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5">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5">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5">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5">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5">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5">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5">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5">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5">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5">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5">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5">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5">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5">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5">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5">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5">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5">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5">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5">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5">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5">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5">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5">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5">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5">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5">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75" thickBot="1" x14ac:dyDescent="0.3">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3">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5">
      <c r="V260" s="31" t="str">
        <f>IF(V259&lt;&gt;'D-1 Off Site Habitat Baseline'!T259,"Error - Area of habitat enhancement must match the area from sheet D1 ▲","")</f>
        <v/>
      </c>
    </row>
    <row r="261" spans="1:44" x14ac:dyDescent="0.25"/>
    <row r="262" spans="1:44" x14ac:dyDescent="0.25"/>
    <row r="263" spans="1:44" x14ac:dyDescent="0.25"/>
    <row r="264" spans="1:44" x14ac:dyDescent="0.25"/>
    <row r="265" spans="1:44" x14ac:dyDescent="0.25"/>
    <row r="266" spans="1:44" x14ac:dyDescent="0.25"/>
    <row r="267" spans="1:44" x14ac:dyDescent="0.25"/>
    <row r="268" spans="1:44" x14ac:dyDescent="0.25"/>
    <row r="269" spans="1:44" x14ac:dyDescent="0.25"/>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5546875" defaultRowHeight="0" customHeight="1" zeroHeight="1" x14ac:dyDescent="0.25"/>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3"/>
    <row r="2" spans="2:38" ht="20.25" customHeight="1" thickBot="1" x14ac:dyDescent="0.3">
      <c r="B2" s="743" t="str">
        <f>IF([1]Start!$F$12="","",[1]Start!$F$12)</f>
        <v/>
      </c>
      <c r="C2" s="744"/>
      <c r="D2" s="745"/>
    </row>
    <row r="3" spans="2:38" ht="20.45" customHeight="1" x14ac:dyDescent="0.25">
      <c r="B3" s="974" t="str">
        <f ca="1">MID(CELL("filename",A1),FIND("]",CELL("filename",A1))+1,256)</f>
        <v>B-1 Site Hedge Baseline</v>
      </c>
      <c r="C3" s="975"/>
      <c r="D3" s="976"/>
    </row>
    <row r="4" spans="2:38" ht="10.9" customHeight="1" thickBot="1" x14ac:dyDescent="0.3">
      <c r="B4" s="977"/>
      <c r="C4" s="978"/>
      <c r="D4" s="979"/>
    </row>
    <row r="5" spans="2:38" ht="15.75" customHeight="1" x14ac:dyDescent="0.25"/>
    <row r="6" spans="2:38" ht="20.45" customHeight="1" x14ac:dyDescent="0.25"/>
    <row r="7" spans="2:38" ht="45" customHeight="1" thickBot="1" x14ac:dyDescent="0.3">
      <c r="B7" s="132"/>
      <c r="C7" s="132"/>
      <c r="E7" s="131"/>
    </row>
    <row r="8" spans="2:38" s="42" customFormat="1" ht="28.5" customHeight="1" thickBot="1" x14ac:dyDescent="0.3">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3">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15" x14ac:dyDescent="0.25">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5" x14ac:dyDescent="0.25">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5" x14ac:dyDescent="0.25">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5" x14ac:dyDescent="0.25">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5" x14ac:dyDescent="0.2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5" x14ac:dyDescent="0.25">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5" x14ac:dyDescent="0.2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5" x14ac:dyDescent="0.25">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5" x14ac:dyDescent="0.25">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5" x14ac:dyDescent="0.25">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5" x14ac:dyDescent="0.25">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5" x14ac:dyDescent="0.25">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5" x14ac:dyDescent="0.25">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5" x14ac:dyDescent="0.25">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5" x14ac:dyDescent="0.25">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5" x14ac:dyDescent="0.25">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5" x14ac:dyDescent="0.2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5" x14ac:dyDescent="0.2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5" x14ac:dyDescent="0.2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5" x14ac:dyDescent="0.2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5" x14ac:dyDescent="0.2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5" x14ac:dyDescent="0.2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5" x14ac:dyDescent="0.2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5" x14ac:dyDescent="0.2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5" x14ac:dyDescent="0.2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5" x14ac:dyDescent="0.2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5" x14ac:dyDescent="0.2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5" x14ac:dyDescent="0.2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5" x14ac:dyDescent="0.2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5" x14ac:dyDescent="0.2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5" x14ac:dyDescent="0.2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5" x14ac:dyDescent="0.2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5" x14ac:dyDescent="0.2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5" x14ac:dyDescent="0.2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5" x14ac:dyDescent="0.2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5" x14ac:dyDescent="0.2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5" x14ac:dyDescent="0.2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5" x14ac:dyDescent="0.2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5" x14ac:dyDescent="0.2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5" x14ac:dyDescent="0.2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5" x14ac:dyDescent="0.2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5" x14ac:dyDescent="0.2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5" x14ac:dyDescent="0.2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5" x14ac:dyDescent="0.2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5" x14ac:dyDescent="0.2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5" x14ac:dyDescent="0.2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5" x14ac:dyDescent="0.2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5" x14ac:dyDescent="0.2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5" x14ac:dyDescent="0.2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5" x14ac:dyDescent="0.2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5" x14ac:dyDescent="0.2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5" x14ac:dyDescent="0.2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5" x14ac:dyDescent="0.2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5" x14ac:dyDescent="0.2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5" x14ac:dyDescent="0.2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5" x14ac:dyDescent="0.2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5" x14ac:dyDescent="0.2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5" x14ac:dyDescent="0.2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5" x14ac:dyDescent="0.2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5" x14ac:dyDescent="0.2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5" x14ac:dyDescent="0.2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5" x14ac:dyDescent="0.2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5" x14ac:dyDescent="0.2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5" x14ac:dyDescent="0.2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5" x14ac:dyDescent="0.2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5" x14ac:dyDescent="0.2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5" x14ac:dyDescent="0.2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5" x14ac:dyDescent="0.2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5" x14ac:dyDescent="0.2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5" x14ac:dyDescent="0.2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5" x14ac:dyDescent="0.2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5" x14ac:dyDescent="0.2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5" x14ac:dyDescent="0.2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5" x14ac:dyDescent="0.2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5" x14ac:dyDescent="0.2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5" x14ac:dyDescent="0.2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5" x14ac:dyDescent="0.2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5" x14ac:dyDescent="0.2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5" x14ac:dyDescent="0.2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5" x14ac:dyDescent="0.2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5" x14ac:dyDescent="0.2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5" x14ac:dyDescent="0.2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5" x14ac:dyDescent="0.2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5" x14ac:dyDescent="0.2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5" x14ac:dyDescent="0.2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5" x14ac:dyDescent="0.2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5" x14ac:dyDescent="0.2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5" x14ac:dyDescent="0.2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5" x14ac:dyDescent="0.2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5" x14ac:dyDescent="0.2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5" x14ac:dyDescent="0.2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5" x14ac:dyDescent="0.2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5" x14ac:dyDescent="0.2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5" x14ac:dyDescent="0.2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5" x14ac:dyDescent="0.2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5" x14ac:dyDescent="0.2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5" x14ac:dyDescent="0.2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5" x14ac:dyDescent="0.2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5" x14ac:dyDescent="0.2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5" x14ac:dyDescent="0.2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5" x14ac:dyDescent="0.2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5" x14ac:dyDescent="0.2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5" x14ac:dyDescent="0.2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5" x14ac:dyDescent="0.2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5" x14ac:dyDescent="0.2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5" x14ac:dyDescent="0.2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5" x14ac:dyDescent="0.2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5" x14ac:dyDescent="0.2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5" x14ac:dyDescent="0.2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5" x14ac:dyDescent="0.2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5" x14ac:dyDescent="0.2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5" x14ac:dyDescent="0.2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5" x14ac:dyDescent="0.2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5" x14ac:dyDescent="0.2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5" x14ac:dyDescent="0.2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5" x14ac:dyDescent="0.2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5" x14ac:dyDescent="0.2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5" x14ac:dyDescent="0.2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5" x14ac:dyDescent="0.2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5" x14ac:dyDescent="0.2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5" x14ac:dyDescent="0.2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5" x14ac:dyDescent="0.2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5" x14ac:dyDescent="0.2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5" x14ac:dyDescent="0.2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5" x14ac:dyDescent="0.2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5" x14ac:dyDescent="0.2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5" x14ac:dyDescent="0.2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5" x14ac:dyDescent="0.2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5" x14ac:dyDescent="0.2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5" x14ac:dyDescent="0.2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5" x14ac:dyDescent="0.2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5" x14ac:dyDescent="0.2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5" x14ac:dyDescent="0.2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5" x14ac:dyDescent="0.2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5" x14ac:dyDescent="0.2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5" x14ac:dyDescent="0.2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5" x14ac:dyDescent="0.2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5" x14ac:dyDescent="0.2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5" x14ac:dyDescent="0.2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5" x14ac:dyDescent="0.2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5" x14ac:dyDescent="0.2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5" x14ac:dyDescent="0.2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5" x14ac:dyDescent="0.2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5" x14ac:dyDescent="0.2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5" x14ac:dyDescent="0.2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5" x14ac:dyDescent="0.2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5" x14ac:dyDescent="0.2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5" x14ac:dyDescent="0.2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5" x14ac:dyDescent="0.2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5" x14ac:dyDescent="0.2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5" x14ac:dyDescent="0.2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5" x14ac:dyDescent="0.2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5" x14ac:dyDescent="0.2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5" x14ac:dyDescent="0.2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5" x14ac:dyDescent="0.2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5" x14ac:dyDescent="0.2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5" x14ac:dyDescent="0.2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5" x14ac:dyDescent="0.2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5" x14ac:dyDescent="0.2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5" x14ac:dyDescent="0.2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5" x14ac:dyDescent="0.2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5" x14ac:dyDescent="0.2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5" x14ac:dyDescent="0.2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5" x14ac:dyDescent="0.2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5" x14ac:dyDescent="0.2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5" x14ac:dyDescent="0.2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5" x14ac:dyDescent="0.2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5" x14ac:dyDescent="0.2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5" x14ac:dyDescent="0.2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5" x14ac:dyDescent="0.2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5" x14ac:dyDescent="0.2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5" x14ac:dyDescent="0.2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5" x14ac:dyDescent="0.2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5" x14ac:dyDescent="0.2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5" x14ac:dyDescent="0.2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5" x14ac:dyDescent="0.2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5" x14ac:dyDescent="0.2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5" x14ac:dyDescent="0.2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5" x14ac:dyDescent="0.2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5" x14ac:dyDescent="0.2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5" x14ac:dyDescent="0.2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5" x14ac:dyDescent="0.2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5" x14ac:dyDescent="0.2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5" x14ac:dyDescent="0.2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5" x14ac:dyDescent="0.2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5" x14ac:dyDescent="0.2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5" x14ac:dyDescent="0.2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5" x14ac:dyDescent="0.2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5" x14ac:dyDescent="0.2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5" x14ac:dyDescent="0.2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5" x14ac:dyDescent="0.2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5" x14ac:dyDescent="0.2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5" x14ac:dyDescent="0.2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5" x14ac:dyDescent="0.2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5" x14ac:dyDescent="0.2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5" x14ac:dyDescent="0.2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5" x14ac:dyDescent="0.2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5" x14ac:dyDescent="0.2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5" x14ac:dyDescent="0.2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5" x14ac:dyDescent="0.2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5" x14ac:dyDescent="0.2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5" x14ac:dyDescent="0.2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5" x14ac:dyDescent="0.2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5" x14ac:dyDescent="0.2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5" x14ac:dyDescent="0.2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5" x14ac:dyDescent="0.2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5" x14ac:dyDescent="0.2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5" x14ac:dyDescent="0.2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5" x14ac:dyDescent="0.2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5" x14ac:dyDescent="0.2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5" x14ac:dyDescent="0.2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5" x14ac:dyDescent="0.2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5" x14ac:dyDescent="0.2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5" x14ac:dyDescent="0.2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5" x14ac:dyDescent="0.2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5" x14ac:dyDescent="0.2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5" x14ac:dyDescent="0.2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5" x14ac:dyDescent="0.2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5" x14ac:dyDescent="0.2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5" x14ac:dyDescent="0.2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5" x14ac:dyDescent="0.2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5" x14ac:dyDescent="0.2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5" x14ac:dyDescent="0.2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5" x14ac:dyDescent="0.2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5" x14ac:dyDescent="0.2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5" x14ac:dyDescent="0.2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5" x14ac:dyDescent="0.2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5" x14ac:dyDescent="0.2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5" x14ac:dyDescent="0.2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5" x14ac:dyDescent="0.2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5" x14ac:dyDescent="0.2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5" x14ac:dyDescent="0.2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5" x14ac:dyDescent="0.2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5" x14ac:dyDescent="0.2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5" x14ac:dyDescent="0.2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5" x14ac:dyDescent="0.2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5" x14ac:dyDescent="0.2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5" x14ac:dyDescent="0.2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5" x14ac:dyDescent="0.2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5" x14ac:dyDescent="0.2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5" x14ac:dyDescent="0.2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5" x14ac:dyDescent="0.2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5" x14ac:dyDescent="0.2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5" x14ac:dyDescent="0.2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5" x14ac:dyDescent="0.2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5" x14ac:dyDescent="0.2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5" x14ac:dyDescent="0.2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75" thickBot="1" x14ac:dyDescent="0.3">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75" thickBot="1" x14ac:dyDescent="0.3">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5" x14ac:dyDescent="0.25">
      <c r="O259" s="166"/>
      <c r="P259" s="166"/>
      <c r="Q259" s="166"/>
      <c r="R259" s="166"/>
      <c r="S259" s="166"/>
      <c r="T259" s="166"/>
      <c r="U259" s="166"/>
    </row>
    <row r="260" spans="2:38" ht="15" x14ac:dyDescent="0.25">
      <c r="B260" s="132"/>
      <c r="C260" s="132"/>
    </row>
    <row r="261" spans="2:38" ht="15" x14ac:dyDescent="0.25">
      <c r="B261" s="132"/>
      <c r="C261" s="132"/>
    </row>
    <row r="262" spans="2:38" ht="15" x14ac:dyDescent="0.25">
      <c r="B262" s="132"/>
      <c r="C262" s="132"/>
    </row>
    <row r="263" spans="2:38" ht="15" x14ac:dyDescent="0.25">
      <c r="B263" s="132"/>
      <c r="C263" s="132"/>
    </row>
    <row r="264" spans="2:38" ht="15" x14ac:dyDescent="0.2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3"/>
    <row r="2" spans="2:33" ht="21.6" customHeight="1" thickBot="1" x14ac:dyDescent="0.3">
      <c r="B2" s="832" t="str">
        <f>IF([1]Start!F12="","",[1]Start!F12)</f>
        <v/>
      </c>
      <c r="C2" s="833"/>
      <c r="D2" s="834"/>
    </row>
    <row r="3" spans="2:33" ht="15" customHeight="1" x14ac:dyDescent="0.25">
      <c r="B3" s="940" t="str">
        <f ca="1">MID(CELL("filename",A1),FIND("]",CELL("filename",A1))+1,256)</f>
        <v>B-2 Site Hedge Creation</v>
      </c>
      <c r="C3" s="941"/>
      <c r="D3" s="942"/>
      <c r="M3" s="908" t="str">
        <f>IF(OR(COUNTIF($M$12:M259,"*30+*")&gt;0,COUNTIF($Q$12:Q259,"*30+*")&gt;0),"Note; Habitat selected has a time to target condition greater than 30 years. Non standard agreement may be required. ⚠","")</f>
        <v/>
      </c>
      <c r="N3" s="908"/>
      <c r="O3" s="908"/>
      <c r="P3" s="908"/>
      <c r="Q3" s="908"/>
      <c r="R3" s="908"/>
    </row>
    <row r="4" spans="2:33" ht="15.75" customHeight="1" thickBot="1" x14ac:dyDescent="0.3">
      <c r="B4" s="943"/>
      <c r="C4" s="944"/>
      <c r="D4" s="945"/>
      <c r="M4" s="908"/>
      <c r="N4" s="908"/>
      <c r="O4" s="908"/>
      <c r="P4" s="908"/>
      <c r="Q4" s="908"/>
      <c r="R4" s="908"/>
    </row>
    <row r="5" spans="2:33" ht="15.75" customHeight="1" x14ac:dyDescent="0.25">
      <c r="M5" s="908"/>
      <c r="N5" s="908"/>
      <c r="O5" s="908"/>
      <c r="P5" s="908"/>
      <c r="Q5" s="908"/>
      <c r="R5" s="908"/>
    </row>
    <row r="6" spans="2:33" ht="15.75" customHeight="1" x14ac:dyDescent="0.25">
      <c r="M6" s="402"/>
      <c r="N6" s="402"/>
      <c r="O6" s="402"/>
      <c r="P6" s="402"/>
      <c r="Q6" s="402"/>
    </row>
    <row r="7" spans="2:33" ht="15.75" customHeight="1" x14ac:dyDescent="0.25">
      <c r="B7" s="132"/>
      <c r="C7" s="132"/>
      <c r="M7" s="402"/>
      <c r="N7" s="402"/>
      <c r="O7" s="402"/>
      <c r="P7" s="402"/>
      <c r="Q7" s="402"/>
    </row>
    <row r="8" spans="2:33" ht="15" x14ac:dyDescent="0.25"/>
    <row r="9" spans="2:33" ht="19.899999999999999" customHeight="1" thickBot="1" x14ac:dyDescent="0.3"/>
    <row r="10" spans="2:33" ht="31.5" customHeight="1" thickBot="1" x14ac:dyDescent="0.3">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2.75" x14ac:dyDescent="0.25">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15" x14ac:dyDescent="0.25">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5" x14ac:dyDescent="0.25">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5" x14ac:dyDescent="0.25">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5" x14ac:dyDescent="0.25">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5" x14ac:dyDescent="0.2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5" x14ac:dyDescent="0.2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5" x14ac:dyDescent="0.2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5" x14ac:dyDescent="0.2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5" x14ac:dyDescent="0.2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5" x14ac:dyDescent="0.2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5" x14ac:dyDescent="0.2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5" x14ac:dyDescent="0.2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5" x14ac:dyDescent="0.2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5" x14ac:dyDescent="0.2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5" x14ac:dyDescent="0.2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5" x14ac:dyDescent="0.2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5" x14ac:dyDescent="0.2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5" x14ac:dyDescent="0.2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5" x14ac:dyDescent="0.2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5" x14ac:dyDescent="0.2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5" x14ac:dyDescent="0.2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5" x14ac:dyDescent="0.2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5" x14ac:dyDescent="0.2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5" x14ac:dyDescent="0.2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5" x14ac:dyDescent="0.2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5" x14ac:dyDescent="0.2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5" x14ac:dyDescent="0.2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5" x14ac:dyDescent="0.2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5" x14ac:dyDescent="0.2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5" x14ac:dyDescent="0.2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5" x14ac:dyDescent="0.2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5" x14ac:dyDescent="0.2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5" x14ac:dyDescent="0.2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5" x14ac:dyDescent="0.2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5" x14ac:dyDescent="0.2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5" x14ac:dyDescent="0.2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5" x14ac:dyDescent="0.2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5" x14ac:dyDescent="0.2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5" x14ac:dyDescent="0.2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5" x14ac:dyDescent="0.2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5" x14ac:dyDescent="0.2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5" x14ac:dyDescent="0.2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5" x14ac:dyDescent="0.2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5" x14ac:dyDescent="0.2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5" x14ac:dyDescent="0.2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5" x14ac:dyDescent="0.2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5" x14ac:dyDescent="0.2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5" x14ac:dyDescent="0.2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5" x14ac:dyDescent="0.2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5" x14ac:dyDescent="0.2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5" x14ac:dyDescent="0.2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5" x14ac:dyDescent="0.2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5" x14ac:dyDescent="0.2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5" x14ac:dyDescent="0.2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5" x14ac:dyDescent="0.2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5" x14ac:dyDescent="0.2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5" x14ac:dyDescent="0.2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5" x14ac:dyDescent="0.2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5" x14ac:dyDescent="0.2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5" x14ac:dyDescent="0.2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5" x14ac:dyDescent="0.2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5" x14ac:dyDescent="0.2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5" x14ac:dyDescent="0.2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5" x14ac:dyDescent="0.2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5" x14ac:dyDescent="0.2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5" x14ac:dyDescent="0.2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5" x14ac:dyDescent="0.2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5" x14ac:dyDescent="0.2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5" x14ac:dyDescent="0.2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5" x14ac:dyDescent="0.2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5" x14ac:dyDescent="0.2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5" x14ac:dyDescent="0.2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5" x14ac:dyDescent="0.2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5" x14ac:dyDescent="0.2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5" x14ac:dyDescent="0.2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5" x14ac:dyDescent="0.2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5" x14ac:dyDescent="0.2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5" x14ac:dyDescent="0.2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5" x14ac:dyDescent="0.2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5" x14ac:dyDescent="0.2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5" x14ac:dyDescent="0.2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5" x14ac:dyDescent="0.2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5" x14ac:dyDescent="0.2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5" x14ac:dyDescent="0.2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5" x14ac:dyDescent="0.2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5" x14ac:dyDescent="0.2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5" x14ac:dyDescent="0.2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5" x14ac:dyDescent="0.2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5" x14ac:dyDescent="0.2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5" x14ac:dyDescent="0.2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5" x14ac:dyDescent="0.2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5" x14ac:dyDescent="0.2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5" x14ac:dyDescent="0.2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5" x14ac:dyDescent="0.2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5" x14ac:dyDescent="0.2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5" x14ac:dyDescent="0.2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5" x14ac:dyDescent="0.2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5" x14ac:dyDescent="0.2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5" x14ac:dyDescent="0.2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5" x14ac:dyDescent="0.2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5" x14ac:dyDescent="0.2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5" x14ac:dyDescent="0.2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5" x14ac:dyDescent="0.2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5" x14ac:dyDescent="0.2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5" x14ac:dyDescent="0.2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5" x14ac:dyDescent="0.2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5" x14ac:dyDescent="0.2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5" x14ac:dyDescent="0.2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5" x14ac:dyDescent="0.2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5" x14ac:dyDescent="0.2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5" x14ac:dyDescent="0.2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5" x14ac:dyDescent="0.2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5" x14ac:dyDescent="0.2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5" x14ac:dyDescent="0.2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5" x14ac:dyDescent="0.2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5" x14ac:dyDescent="0.2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5" x14ac:dyDescent="0.2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5" x14ac:dyDescent="0.2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5" x14ac:dyDescent="0.2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5" x14ac:dyDescent="0.2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5" x14ac:dyDescent="0.2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5" x14ac:dyDescent="0.2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5" x14ac:dyDescent="0.2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5" x14ac:dyDescent="0.2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5" x14ac:dyDescent="0.2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5" x14ac:dyDescent="0.2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5" x14ac:dyDescent="0.2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5" x14ac:dyDescent="0.2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5" x14ac:dyDescent="0.2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5" x14ac:dyDescent="0.2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5" x14ac:dyDescent="0.2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5" x14ac:dyDescent="0.2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5" x14ac:dyDescent="0.2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5" x14ac:dyDescent="0.2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5" x14ac:dyDescent="0.2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5" x14ac:dyDescent="0.2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5" x14ac:dyDescent="0.2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5" x14ac:dyDescent="0.2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5" x14ac:dyDescent="0.2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5" x14ac:dyDescent="0.2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5" x14ac:dyDescent="0.2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5" x14ac:dyDescent="0.2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5" x14ac:dyDescent="0.2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5" x14ac:dyDescent="0.2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5" x14ac:dyDescent="0.2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5" x14ac:dyDescent="0.2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5" x14ac:dyDescent="0.2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5" x14ac:dyDescent="0.2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5" x14ac:dyDescent="0.2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5" x14ac:dyDescent="0.2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5" x14ac:dyDescent="0.2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5" x14ac:dyDescent="0.2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5" x14ac:dyDescent="0.2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5" x14ac:dyDescent="0.2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5" x14ac:dyDescent="0.2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5" x14ac:dyDescent="0.2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5" x14ac:dyDescent="0.2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5" x14ac:dyDescent="0.2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5" x14ac:dyDescent="0.2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5" x14ac:dyDescent="0.2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5" x14ac:dyDescent="0.2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5" x14ac:dyDescent="0.2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5" x14ac:dyDescent="0.2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5" x14ac:dyDescent="0.2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5" x14ac:dyDescent="0.2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5" x14ac:dyDescent="0.2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5" x14ac:dyDescent="0.2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5" x14ac:dyDescent="0.2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5" x14ac:dyDescent="0.2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5" x14ac:dyDescent="0.2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5" x14ac:dyDescent="0.2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5" x14ac:dyDescent="0.2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5" x14ac:dyDescent="0.2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5" x14ac:dyDescent="0.2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5" x14ac:dyDescent="0.2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5" x14ac:dyDescent="0.2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5" x14ac:dyDescent="0.2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5" x14ac:dyDescent="0.2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5" x14ac:dyDescent="0.2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5" x14ac:dyDescent="0.2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5" x14ac:dyDescent="0.2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5" x14ac:dyDescent="0.2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5" x14ac:dyDescent="0.2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5" x14ac:dyDescent="0.2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5" x14ac:dyDescent="0.2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5" x14ac:dyDescent="0.2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5" x14ac:dyDescent="0.2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5" x14ac:dyDescent="0.2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5" x14ac:dyDescent="0.2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5" x14ac:dyDescent="0.2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5" x14ac:dyDescent="0.2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5" x14ac:dyDescent="0.2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5" x14ac:dyDescent="0.2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5" x14ac:dyDescent="0.2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5" x14ac:dyDescent="0.2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5" x14ac:dyDescent="0.2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5" x14ac:dyDescent="0.2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5" x14ac:dyDescent="0.2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5" x14ac:dyDescent="0.2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5" x14ac:dyDescent="0.2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5" x14ac:dyDescent="0.2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5" x14ac:dyDescent="0.2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5" x14ac:dyDescent="0.2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5" x14ac:dyDescent="0.2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5" x14ac:dyDescent="0.2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5" x14ac:dyDescent="0.2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5" x14ac:dyDescent="0.2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5" x14ac:dyDescent="0.2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5" x14ac:dyDescent="0.2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5" x14ac:dyDescent="0.2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5" x14ac:dyDescent="0.2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5" x14ac:dyDescent="0.2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5" x14ac:dyDescent="0.2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5" x14ac:dyDescent="0.2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5" x14ac:dyDescent="0.2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5" x14ac:dyDescent="0.2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5" x14ac:dyDescent="0.2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5" x14ac:dyDescent="0.2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5" x14ac:dyDescent="0.2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5" x14ac:dyDescent="0.2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5" x14ac:dyDescent="0.2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5" x14ac:dyDescent="0.2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5" x14ac:dyDescent="0.2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5" x14ac:dyDescent="0.2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5" x14ac:dyDescent="0.2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5" x14ac:dyDescent="0.2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5" x14ac:dyDescent="0.2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5" x14ac:dyDescent="0.2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5" x14ac:dyDescent="0.2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5" x14ac:dyDescent="0.2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5" x14ac:dyDescent="0.2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5" x14ac:dyDescent="0.2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5" x14ac:dyDescent="0.2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5" x14ac:dyDescent="0.2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5" x14ac:dyDescent="0.2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5" x14ac:dyDescent="0.2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5" x14ac:dyDescent="0.2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5" x14ac:dyDescent="0.2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5" x14ac:dyDescent="0.2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5" x14ac:dyDescent="0.2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5" x14ac:dyDescent="0.2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5" x14ac:dyDescent="0.2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5" x14ac:dyDescent="0.2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5" x14ac:dyDescent="0.2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5" x14ac:dyDescent="0.2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5" x14ac:dyDescent="0.2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5" x14ac:dyDescent="0.2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75" thickBot="1" x14ac:dyDescent="0.3">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
      <c r="B260" s="46"/>
      <c r="C260" s="46"/>
      <c r="D260" s="276"/>
      <c r="E260" s="502">
        <f>SUM(E12:E259)</f>
        <v>0</v>
      </c>
      <c r="F260" s="46"/>
      <c r="G260" s="46"/>
      <c r="H260" s="46"/>
      <c r="I260" s="46"/>
      <c r="J260" s="46"/>
      <c r="K260" s="46"/>
      <c r="L260" s="46"/>
      <c r="M260" s="46"/>
      <c r="N260" s="46"/>
      <c r="O260" s="46"/>
      <c r="P260" s="46"/>
      <c r="Q260" s="46"/>
      <c r="R260" s="46"/>
      <c r="S260" s="46"/>
      <c r="T260" s="46"/>
      <c r="U260" s="982"/>
      <c r="V260" s="983"/>
      <c r="W260" s="502">
        <f>SUM(W12:W259)</f>
        <v>0</v>
      </c>
      <c r="X260" s="46"/>
      <c r="Y260" s="46"/>
    </row>
    <row r="261" spans="2:33" ht="28.9" customHeight="1" x14ac:dyDescent="0.25">
      <c r="E261" s="980"/>
      <c r="F261" s="980"/>
      <c r="G261" s="980"/>
      <c r="H261" s="980"/>
      <c r="I261" s="980"/>
      <c r="J261" s="980"/>
    </row>
    <row r="262" spans="2:33" ht="27" customHeight="1" x14ac:dyDescent="0.25"/>
    <row r="263" spans="2:33" ht="15" x14ac:dyDescent="0.25"/>
    <row r="264" spans="2:33" ht="15" x14ac:dyDescent="0.25"/>
    <row r="265" spans="2:33" ht="15" x14ac:dyDescent="0.25"/>
    <row r="266" spans="2:33" ht="15" x14ac:dyDescent="0.25"/>
    <row r="267" spans="2:33" ht="15" x14ac:dyDescent="0.25"/>
    <row r="268" spans="2:33" ht="15" x14ac:dyDescent="0.2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3"/>
    <row r="2" spans="2:46" ht="19.899999999999999" customHeight="1" thickBot="1" x14ac:dyDescent="0.3">
      <c r="B2" s="986" t="str">
        <f>IF(Start!F12="","",Start!F12)</f>
        <v>16-18 Oatlands Drive</v>
      </c>
      <c r="C2" s="987"/>
      <c r="D2" s="988"/>
      <c r="O2" s="132"/>
      <c r="X2" s="908" t="str">
        <f>IF(OR(COUNTIF($X$12:X257,"*30+*")&gt;0,COUNTIF($AB$12:AB257,"*30+*")&gt;0),"Note; Habitat selected has a time to target condition greater than 30 years. Non standard agreement may be required.","")</f>
        <v/>
      </c>
      <c r="Y2" s="908"/>
      <c r="Z2" s="908"/>
      <c r="AA2" s="908"/>
      <c r="AB2" s="908"/>
      <c r="AC2" s="908"/>
    </row>
    <row r="3" spans="2:46" ht="21" customHeight="1" x14ac:dyDescent="0.25">
      <c r="B3" s="940" t="str">
        <f ca="1">MID(CELL("filename",A1),FIND("]",CELL("filename",A1))+1,256)</f>
        <v>B-3 Site Hedge Enhancement</v>
      </c>
      <c r="C3" s="941"/>
      <c r="D3" s="942"/>
      <c r="X3" s="908"/>
      <c r="Y3" s="908"/>
      <c r="Z3" s="908"/>
      <c r="AA3" s="908"/>
      <c r="AB3" s="908"/>
      <c r="AC3" s="908"/>
    </row>
    <row r="4" spans="2:46" ht="15.75" customHeight="1" thickBot="1" x14ac:dyDescent="0.3">
      <c r="B4" s="943"/>
      <c r="C4" s="944"/>
      <c r="D4" s="945"/>
      <c r="V4" s="33"/>
      <c r="W4" s="193"/>
      <c r="X4" s="908"/>
      <c r="Y4" s="908"/>
      <c r="Z4" s="908"/>
      <c r="AA4" s="908"/>
      <c r="AB4" s="908"/>
      <c r="AC4" s="908"/>
      <c r="AD4" s="193"/>
      <c r="AE4" s="193"/>
      <c r="AF4" s="193"/>
      <c r="AG4" s="193"/>
      <c r="AH4" s="193"/>
      <c r="AI4" s="193"/>
      <c r="AJ4" s="193"/>
    </row>
    <row r="5" spans="2:46" ht="15.75" customHeight="1" x14ac:dyDescent="0.25">
      <c r="X5" s="402"/>
      <c r="Y5" s="402"/>
      <c r="Z5" s="402"/>
      <c r="AA5" s="402"/>
      <c r="AB5" s="402"/>
    </row>
    <row r="6" spans="2:46" ht="15.75" customHeight="1" x14ac:dyDescent="0.25">
      <c r="X6" s="402"/>
      <c r="Y6" s="402"/>
      <c r="Z6" s="402"/>
      <c r="AA6" s="402"/>
      <c r="AB6" s="402"/>
    </row>
    <row r="7" spans="2:46" ht="15" x14ac:dyDescent="0.25">
      <c r="B7" s="132"/>
      <c r="C7" s="132"/>
      <c r="M7" s="131"/>
    </row>
    <row r="8" spans="2:46" ht="19.899999999999999" customHeight="1" thickBot="1" x14ac:dyDescent="0.3"/>
    <row r="9" spans="2:46" ht="15.75" thickBot="1" x14ac:dyDescent="0.3">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3">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5" x14ac:dyDescent="0.25">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5" x14ac:dyDescent="0.25">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5" x14ac:dyDescent="0.25">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5" x14ac:dyDescent="0.25">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5" x14ac:dyDescent="0.2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5" x14ac:dyDescent="0.2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5" x14ac:dyDescent="0.2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5" x14ac:dyDescent="0.2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5" x14ac:dyDescent="0.2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5" x14ac:dyDescent="0.2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5" x14ac:dyDescent="0.2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5" x14ac:dyDescent="0.2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5" x14ac:dyDescent="0.2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5" x14ac:dyDescent="0.2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5" x14ac:dyDescent="0.2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5" x14ac:dyDescent="0.2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5" x14ac:dyDescent="0.2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5" x14ac:dyDescent="0.2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5" x14ac:dyDescent="0.2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5" x14ac:dyDescent="0.2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5" x14ac:dyDescent="0.2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5" x14ac:dyDescent="0.2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5" x14ac:dyDescent="0.2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5" x14ac:dyDescent="0.2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5" x14ac:dyDescent="0.2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5" x14ac:dyDescent="0.2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5" x14ac:dyDescent="0.2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5" x14ac:dyDescent="0.2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5" x14ac:dyDescent="0.2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5" x14ac:dyDescent="0.2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5" x14ac:dyDescent="0.2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5" x14ac:dyDescent="0.2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5" x14ac:dyDescent="0.2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5" x14ac:dyDescent="0.2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5" x14ac:dyDescent="0.2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5" x14ac:dyDescent="0.2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5" x14ac:dyDescent="0.2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5" x14ac:dyDescent="0.2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5" x14ac:dyDescent="0.2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5" x14ac:dyDescent="0.2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5" x14ac:dyDescent="0.2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5" x14ac:dyDescent="0.2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5" x14ac:dyDescent="0.2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5" x14ac:dyDescent="0.2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5" x14ac:dyDescent="0.2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5" x14ac:dyDescent="0.2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5" x14ac:dyDescent="0.2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5" x14ac:dyDescent="0.2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5" x14ac:dyDescent="0.2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5" x14ac:dyDescent="0.2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5" x14ac:dyDescent="0.2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5" x14ac:dyDescent="0.2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5" x14ac:dyDescent="0.2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5" x14ac:dyDescent="0.2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5" x14ac:dyDescent="0.2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5" x14ac:dyDescent="0.2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5" x14ac:dyDescent="0.2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5" x14ac:dyDescent="0.2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5" x14ac:dyDescent="0.2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5" x14ac:dyDescent="0.2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5" x14ac:dyDescent="0.2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5" x14ac:dyDescent="0.2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5" x14ac:dyDescent="0.2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5" x14ac:dyDescent="0.2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5" x14ac:dyDescent="0.2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5" x14ac:dyDescent="0.2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5" x14ac:dyDescent="0.2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5" x14ac:dyDescent="0.2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5" x14ac:dyDescent="0.2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5" x14ac:dyDescent="0.2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5" x14ac:dyDescent="0.2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5" x14ac:dyDescent="0.2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5" x14ac:dyDescent="0.2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5" x14ac:dyDescent="0.2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5" x14ac:dyDescent="0.2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5" x14ac:dyDescent="0.2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5" x14ac:dyDescent="0.2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5" x14ac:dyDescent="0.2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5" x14ac:dyDescent="0.2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5" x14ac:dyDescent="0.2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5" x14ac:dyDescent="0.2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5" x14ac:dyDescent="0.2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5" x14ac:dyDescent="0.2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5" x14ac:dyDescent="0.2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5" x14ac:dyDescent="0.2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5" x14ac:dyDescent="0.2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5" x14ac:dyDescent="0.2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5" x14ac:dyDescent="0.2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5" x14ac:dyDescent="0.2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5" x14ac:dyDescent="0.2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5" x14ac:dyDescent="0.2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5" x14ac:dyDescent="0.2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5" x14ac:dyDescent="0.2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5" x14ac:dyDescent="0.2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5" x14ac:dyDescent="0.2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5" x14ac:dyDescent="0.2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5" x14ac:dyDescent="0.2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5" x14ac:dyDescent="0.2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5" x14ac:dyDescent="0.2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5" x14ac:dyDescent="0.2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5" x14ac:dyDescent="0.2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5" x14ac:dyDescent="0.2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5" x14ac:dyDescent="0.2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5" x14ac:dyDescent="0.2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5" x14ac:dyDescent="0.2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5" x14ac:dyDescent="0.2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5" x14ac:dyDescent="0.2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5" x14ac:dyDescent="0.2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5" x14ac:dyDescent="0.2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5" x14ac:dyDescent="0.2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5" x14ac:dyDescent="0.2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5" x14ac:dyDescent="0.2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5" x14ac:dyDescent="0.2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5" x14ac:dyDescent="0.2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5" x14ac:dyDescent="0.2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5" x14ac:dyDescent="0.2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5" x14ac:dyDescent="0.2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5" x14ac:dyDescent="0.2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5" x14ac:dyDescent="0.2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5" x14ac:dyDescent="0.2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5" x14ac:dyDescent="0.2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5" x14ac:dyDescent="0.2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5" x14ac:dyDescent="0.2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5" x14ac:dyDescent="0.2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5" x14ac:dyDescent="0.2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5" x14ac:dyDescent="0.2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5" x14ac:dyDescent="0.2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5" x14ac:dyDescent="0.2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5" x14ac:dyDescent="0.2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5" x14ac:dyDescent="0.2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5" x14ac:dyDescent="0.2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5" x14ac:dyDescent="0.2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5" x14ac:dyDescent="0.2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5" x14ac:dyDescent="0.2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5" x14ac:dyDescent="0.2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5" x14ac:dyDescent="0.2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5" x14ac:dyDescent="0.2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5" x14ac:dyDescent="0.2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5" x14ac:dyDescent="0.2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5" x14ac:dyDescent="0.2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5" x14ac:dyDescent="0.2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5" x14ac:dyDescent="0.2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5" x14ac:dyDescent="0.2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5" x14ac:dyDescent="0.2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5" x14ac:dyDescent="0.2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5" x14ac:dyDescent="0.2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5" x14ac:dyDescent="0.2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5" x14ac:dyDescent="0.2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5" x14ac:dyDescent="0.2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5" x14ac:dyDescent="0.2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5" x14ac:dyDescent="0.2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5" x14ac:dyDescent="0.2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5" x14ac:dyDescent="0.2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5" x14ac:dyDescent="0.2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5" x14ac:dyDescent="0.2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5" x14ac:dyDescent="0.2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5" x14ac:dyDescent="0.2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5" x14ac:dyDescent="0.2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5" x14ac:dyDescent="0.2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5" x14ac:dyDescent="0.2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5" x14ac:dyDescent="0.2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5" x14ac:dyDescent="0.2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5" x14ac:dyDescent="0.2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5" x14ac:dyDescent="0.2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5" x14ac:dyDescent="0.2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5" x14ac:dyDescent="0.2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5" x14ac:dyDescent="0.2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5" x14ac:dyDescent="0.2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5" x14ac:dyDescent="0.2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5" x14ac:dyDescent="0.2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5" x14ac:dyDescent="0.2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5" x14ac:dyDescent="0.2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5" x14ac:dyDescent="0.2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5" x14ac:dyDescent="0.2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5" x14ac:dyDescent="0.2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5" x14ac:dyDescent="0.2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5" x14ac:dyDescent="0.2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5" x14ac:dyDescent="0.2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5" x14ac:dyDescent="0.2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5" x14ac:dyDescent="0.2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5" x14ac:dyDescent="0.2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5" x14ac:dyDescent="0.2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5" x14ac:dyDescent="0.2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5" x14ac:dyDescent="0.2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5" x14ac:dyDescent="0.2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5" x14ac:dyDescent="0.2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5" x14ac:dyDescent="0.2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5" x14ac:dyDescent="0.2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5" x14ac:dyDescent="0.2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5" x14ac:dyDescent="0.2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5" x14ac:dyDescent="0.2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5" x14ac:dyDescent="0.2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5" x14ac:dyDescent="0.2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5" x14ac:dyDescent="0.2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5" x14ac:dyDescent="0.2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5" x14ac:dyDescent="0.2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5" x14ac:dyDescent="0.2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5" x14ac:dyDescent="0.2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5" x14ac:dyDescent="0.2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5" x14ac:dyDescent="0.2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5" x14ac:dyDescent="0.2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5" x14ac:dyDescent="0.2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5" x14ac:dyDescent="0.2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5" x14ac:dyDescent="0.2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5" x14ac:dyDescent="0.2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5" x14ac:dyDescent="0.2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5" x14ac:dyDescent="0.2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5" x14ac:dyDescent="0.2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5" x14ac:dyDescent="0.2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5" x14ac:dyDescent="0.2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5" x14ac:dyDescent="0.2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5" x14ac:dyDescent="0.2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5" x14ac:dyDescent="0.2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5" x14ac:dyDescent="0.2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5" x14ac:dyDescent="0.2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5" x14ac:dyDescent="0.2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5" x14ac:dyDescent="0.2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5" x14ac:dyDescent="0.2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5" x14ac:dyDescent="0.2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5" x14ac:dyDescent="0.2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5" x14ac:dyDescent="0.2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5" x14ac:dyDescent="0.2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5" x14ac:dyDescent="0.2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5" x14ac:dyDescent="0.2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5" x14ac:dyDescent="0.2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5" x14ac:dyDescent="0.2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5" x14ac:dyDescent="0.2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5" x14ac:dyDescent="0.2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5" x14ac:dyDescent="0.2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5" x14ac:dyDescent="0.2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5" x14ac:dyDescent="0.2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5" x14ac:dyDescent="0.2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5" x14ac:dyDescent="0.2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5" x14ac:dyDescent="0.2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5" x14ac:dyDescent="0.2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5" x14ac:dyDescent="0.2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5" x14ac:dyDescent="0.2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5" x14ac:dyDescent="0.2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5" x14ac:dyDescent="0.2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5" x14ac:dyDescent="0.2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5" x14ac:dyDescent="0.2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5" x14ac:dyDescent="0.2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5" x14ac:dyDescent="0.2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5" x14ac:dyDescent="0.2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5" x14ac:dyDescent="0.2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75" thickBot="1" x14ac:dyDescent="0.3">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75" thickBot="1" x14ac:dyDescent="0.3">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5" x14ac:dyDescent="0.25"/>
    <row r="260" spans="2:46" ht="15" x14ac:dyDescent="0.25"/>
    <row r="261" spans="2:46" ht="15" x14ac:dyDescent="0.25"/>
    <row r="262" spans="2:46" ht="15" x14ac:dyDescent="0.25"/>
    <row r="263" spans="2:46" ht="15" x14ac:dyDescent="0.25"/>
    <row r="264" spans="2:46" ht="15" x14ac:dyDescent="0.25"/>
    <row r="265" spans="2:46" ht="15" x14ac:dyDescent="0.25"/>
    <row r="266" spans="2:46" ht="15" x14ac:dyDescent="0.2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3"/>
    <row r="2" spans="2:37" ht="15.75" customHeight="1" thickBot="1" x14ac:dyDescent="0.3">
      <c r="B2" s="743" t="str">
        <f>IF(Start!$F$12="","",Start!$F$12)</f>
        <v>16-18 Oatlands Drive</v>
      </c>
      <c r="C2" s="744"/>
      <c r="D2" s="745"/>
    </row>
    <row r="3" spans="2:37" ht="15.75" customHeight="1" x14ac:dyDescent="0.25">
      <c r="B3" s="974" t="str">
        <f ca="1">MID(CELL("filename",A1),FIND("]",CELL("filename",A1))+1,256)</f>
        <v>E-1 Off Site Hedge Baseline</v>
      </c>
      <c r="C3" s="975"/>
      <c r="D3" s="976"/>
    </row>
    <row r="4" spans="2:37" ht="15.75" customHeight="1" thickBot="1" x14ac:dyDescent="0.3">
      <c r="B4" s="977"/>
      <c r="C4" s="978"/>
      <c r="D4" s="979"/>
    </row>
    <row r="5" spans="2:37" ht="37.9" customHeight="1" x14ac:dyDescent="0.25"/>
    <row r="6" spans="2:37" ht="28.9" customHeight="1" x14ac:dyDescent="0.25"/>
    <row r="7" spans="2:37" ht="15.75" customHeight="1" thickBot="1" x14ac:dyDescent="0.3">
      <c r="B7" s="132"/>
      <c r="C7" s="132"/>
      <c r="D7" s="131"/>
    </row>
    <row r="8" spans="2:37" s="42" customFormat="1" ht="29.25" thickBot="1" x14ac:dyDescent="0.3">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3.5" thickBot="1" x14ac:dyDescent="0.3">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5" x14ac:dyDescent="0.2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5" x14ac:dyDescent="0.2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5" x14ac:dyDescent="0.2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5" x14ac:dyDescent="0.2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5" x14ac:dyDescent="0.2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5" x14ac:dyDescent="0.2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5" x14ac:dyDescent="0.2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5" x14ac:dyDescent="0.2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5" x14ac:dyDescent="0.2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5" x14ac:dyDescent="0.2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5" x14ac:dyDescent="0.2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5" x14ac:dyDescent="0.2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5" x14ac:dyDescent="0.2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5" x14ac:dyDescent="0.2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5" x14ac:dyDescent="0.2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5" x14ac:dyDescent="0.2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5" x14ac:dyDescent="0.2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5" x14ac:dyDescent="0.2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5" x14ac:dyDescent="0.2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5" x14ac:dyDescent="0.2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5" x14ac:dyDescent="0.2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5" x14ac:dyDescent="0.2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5" x14ac:dyDescent="0.2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5" x14ac:dyDescent="0.2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5" x14ac:dyDescent="0.2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5" x14ac:dyDescent="0.2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5" x14ac:dyDescent="0.2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5" x14ac:dyDescent="0.2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5" x14ac:dyDescent="0.2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5" x14ac:dyDescent="0.2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5" x14ac:dyDescent="0.2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5" x14ac:dyDescent="0.2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5" x14ac:dyDescent="0.2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5" x14ac:dyDescent="0.2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5" x14ac:dyDescent="0.2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5" x14ac:dyDescent="0.2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5" x14ac:dyDescent="0.2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5" x14ac:dyDescent="0.2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5" x14ac:dyDescent="0.2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5" x14ac:dyDescent="0.2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5" x14ac:dyDescent="0.2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5" x14ac:dyDescent="0.2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5" x14ac:dyDescent="0.2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5" x14ac:dyDescent="0.2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5" x14ac:dyDescent="0.2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5" x14ac:dyDescent="0.2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5" x14ac:dyDescent="0.2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5" x14ac:dyDescent="0.2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5" x14ac:dyDescent="0.2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5" x14ac:dyDescent="0.2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5" x14ac:dyDescent="0.2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5" x14ac:dyDescent="0.2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5" x14ac:dyDescent="0.2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5" x14ac:dyDescent="0.2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5" x14ac:dyDescent="0.2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5" x14ac:dyDescent="0.2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5" x14ac:dyDescent="0.2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5" x14ac:dyDescent="0.2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5" x14ac:dyDescent="0.2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5" x14ac:dyDescent="0.2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5" x14ac:dyDescent="0.2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5" x14ac:dyDescent="0.2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5" x14ac:dyDescent="0.2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5" x14ac:dyDescent="0.2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5" x14ac:dyDescent="0.2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5" x14ac:dyDescent="0.2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5" x14ac:dyDescent="0.2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5" x14ac:dyDescent="0.2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5" x14ac:dyDescent="0.2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5" x14ac:dyDescent="0.2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5" x14ac:dyDescent="0.2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5" x14ac:dyDescent="0.2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5" x14ac:dyDescent="0.2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5" x14ac:dyDescent="0.2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5" x14ac:dyDescent="0.2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5" x14ac:dyDescent="0.2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5" x14ac:dyDescent="0.2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5" x14ac:dyDescent="0.2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5" x14ac:dyDescent="0.2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5" x14ac:dyDescent="0.2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5" x14ac:dyDescent="0.2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5" x14ac:dyDescent="0.2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5" x14ac:dyDescent="0.2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5" x14ac:dyDescent="0.2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5" x14ac:dyDescent="0.2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5" x14ac:dyDescent="0.2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5" x14ac:dyDescent="0.2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5" x14ac:dyDescent="0.2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5" x14ac:dyDescent="0.2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5" x14ac:dyDescent="0.2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5" x14ac:dyDescent="0.2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5" x14ac:dyDescent="0.2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5" x14ac:dyDescent="0.2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5" x14ac:dyDescent="0.2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5" x14ac:dyDescent="0.2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5" x14ac:dyDescent="0.2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5" x14ac:dyDescent="0.2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5" x14ac:dyDescent="0.2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5" x14ac:dyDescent="0.2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5" x14ac:dyDescent="0.2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5" x14ac:dyDescent="0.2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5" x14ac:dyDescent="0.2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5" x14ac:dyDescent="0.2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5" x14ac:dyDescent="0.2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5" x14ac:dyDescent="0.2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5" x14ac:dyDescent="0.2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5" x14ac:dyDescent="0.2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5" x14ac:dyDescent="0.2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5" x14ac:dyDescent="0.2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5" x14ac:dyDescent="0.2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5" x14ac:dyDescent="0.2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5" x14ac:dyDescent="0.2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5" x14ac:dyDescent="0.2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5" x14ac:dyDescent="0.2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5" x14ac:dyDescent="0.2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5" x14ac:dyDescent="0.2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5" x14ac:dyDescent="0.2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5" x14ac:dyDescent="0.2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5" x14ac:dyDescent="0.2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5" x14ac:dyDescent="0.2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5" x14ac:dyDescent="0.2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5" x14ac:dyDescent="0.2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5" x14ac:dyDescent="0.2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5" x14ac:dyDescent="0.2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5" x14ac:dyDescent="0.2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5" x14ac:dyDescent="0.2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5" x14ac:dyDescent="0.2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5" x14ac:dyDescent="0.2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5" x14ac:dyDescent="0.2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5" x14ac:dyDescent="0.2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5" x14ac:dyDescent="0.2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5" x14ac:dyDescent="0.2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5" x14ac:dyDescent="0.2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5" x14ac:dyDescent="0.2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5" x14ac:dyDescent="0.2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5" x14ac:dyDescent="0.2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5" x14ac:dyDescent="0.2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5" x14ac:dyDescent="0.2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5" x14ac:dyDescent="0.2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5" x14ac:dyDescent="0.2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5" x14ac:dyDescent="0.2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5" x14ac:dyDescent="0.2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5" x14ac:dyDescent="0.2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5" x14ac:dyDescent="0.2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5" x14ac:dyDescent="0.2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5" x14ac:dyDescent="0.2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5" x14ac:dyDescent="0.2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5" x14ac:dyDescent="0.2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5" x14ac:dyDescent="0.2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5" x14ac:dyDescent="0.2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5" x14ac:dyDescent="0.2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5" x14ac:dyDescent="0.2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5" x14ac:dyDescent="0.2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5" x14ac:dyDescent="0.2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5" x14ac:dyDescent="0.2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5" x14ac:dyDescent="0.2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5" x14ac:dyDescent="0.2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5" x14ac:dyDescent="0.2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5" x14ac:dyDescent="0.2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5" x14ac:dyDescent="0.2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5" x14ac:dyDescent="0.2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5" x14ac:dyDescent="0.2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5" x14ac:dyDescent="0.2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5" x14ac:dyDescent="0.2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5" x14ac:dyDescent="0.2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5" x14ac:dyDescent="0.2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5" x14ac:dyDescent="0.2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5" x14ac:dyDescent="0.2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5" x14ac:dyDescent="0.2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5" x14ac:dyDescent="0.2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5" x14ac:dyDescent="0.2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5" x14ac:dyDescent="0.2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5" x14ac:dyDescent="0.2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5" x14ac:dyDescent="0.2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5" x14ac:dyDescent="0.2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5" x14ac:dyDescent="0.2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5" x14ac:dyDescent="0.2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5" x14ac:dyDescent="0.2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5" x14ac:dyDescent="0.2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5" x14ac:dyDescent="0.2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5" x14ac:dyDescent="0.2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5" x14ac:dyDescent="0.2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5" x14ac:dyDescent="0.2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5" x14ac:dyDescent="0.2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5" x14ac:dyDescent="0.2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5" x14ac:dyDescent="0.2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5" x14ac:dyDescent="0.2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5" x14ac:dyDescent="0.2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5" x14ac:dyDescent="0.2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5" x14ac:dyDescent="0.2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5" x14ac:dyDescent="0.2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5" x14ac:dyDescent="0.2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5" x14ac:dyDescent="0.2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5" x14ac:dyDescent="0.2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5" x14ac:dyDescent="0.2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5" x14ac:dyDescent="0.2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5" x14ac:dyDescent="0.2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5" x14ac:dyDescent="0.2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5" x14ac:dyDescent="0.2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5" x14ac:dyDescent="0.2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5" x14ac:dyDescent="0.2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5" x14ac:dyDescent="0.2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5" x14ac:dyDescent="0.2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5" x14ac:dyDescent="0.2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5" x14ac:dyDescent="0.2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5" x14ac:dyDescent="0.2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5" x14ac:dyDescent="0.2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5" x14ac:dyDescent="0.2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5" x14ac:dyDescent="0.2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5" x14ac:dyDescent="0.2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5" x14ac:dyDescent="0.2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5" x14ac:dyDescent="0.2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5" x14ac:dyDescent="0.2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5" x14ac:dyDescent="0.2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5" x14ac:dyDescent="0.2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5" x14ac:dyDescent="0.2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5" x14ac:dyDescent="0.2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5" x14ac:dyDescent="0.2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5" x14ac:dyDescent="0.2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5" x14ac:dyDescent="0.2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5" x14ac:dyDescent="0.2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5" x14ac:dyDescent="0.2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5" x14ac:dyDescent="0.2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5" x14ac:dyDescent="0.2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5" x14ac:dyDescent="0.2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5" x14ac:dyDescent="0.2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5" x14ac:dyDescent="0.2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5" x14ac:dyDescent="0.2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5" x14ac:dyDescent="0.2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5" x14ac:dyDescent="0.2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5" x14ac:dyDescent="0.2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5" x14ac:dyDescent="0.2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5" x14ac:dyDescent="0.2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5" x14ac:dyDescent="0.2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5" x14ac:dyDescent="0.2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5" x14ac:dyDescent="0.2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5" x14ac:dyDescent="0.2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5" x14ac:dyDescent="0.2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5" x14ac:dyDescent="0.2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5" x14ac:dyDescent="0.2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5" x14ac:dyDescent="0.2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5" x14ac:dyDescent="0.2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5" x14ac:dyDescent="0.2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5" x14ac:dyDescent="0.2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5" x14ac:dyDescent="0.2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5" x14ac:dyDescent="0.2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5" x14ac:dyDescent="0.2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75" thickBot="1" x14ac:dyDescent="0.3">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75" thickBot="1" x14ac:dyDescent="0.3">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5" x14ac:dyDescent="0.25">
      <c r="O259" s="166"/>
      <c r="P259" s="166"/>
      <c r="Q259" s="166"/>
      <c r="R259" s="166"/>
      <c r="S259" s="166"/>
      <c r="T259" s="166"/>
      <c r="U259" s="166"/>
    </row>
    <row r="260" spans="2:37" ht="15" x14ac:dyDescent="0.25">
      <c r="B260" s="132"/>
      <c r="C260" s="132"/>
    </row>
    <row r="261" spans="2:37" ht="15" x14ac:dyDescent="0.25">
      <c r="B261" s="132"/>
      <c r="C261" s="132"/>
    </row>
    <row r="262" spans="2:37" ht="15" x14ac:dyDescent="0.25">
      <c r="B262" s="132"/>
      <c r="C262" s="132"/>
    </row>
    <row r="263" spans="2:37" ht="15" x14ac:dyDescent="0.25">
      <c r="B263" s="132"/>
      <c r="C263" s="132"/>
    </row>
    <row r="264" spans="2:37" ht="15" x14ac:dyDescent="0.25">
      <c r="B264" s="132"/>
      <c r="C264" s="132"/>
    </row>
    <row r="265" spans="2:37" ht="15" x14ac:dyDescent="0.25">
      <c r="B265" s="132"/>
      <c r="C265" s="132"/>
    </row>
    <row r="266" spans="2:37" ht="15" x14ac:dyDescent="0.25">
      <c r="B266" s="132"/>
      <c r="C266" s="132"/>
    </row>
    <row r="267" spans="2:37" ht="15" hidden="1" x14ac:dyDescent="0.25">
      <c r="B267" s="132"/>
      <c r="C267" s="132"/>
    </row>
    <row r="268" spans="2:37" ht="15" hidden="1" x14ac:dyDescent="0.25">
      <c r="B268" s="132"/>
      <c r="C268" s="132"/>
    </row>
    <row r="269" spans="2:37" ht="15" hidden="1" x14ac:dyDescent="0.25">
      <c r="B269" s="132"/>
      <c r="C269" s="132"/>
    </row>
    <row r="270" spans="2:37" ht="15" hidden="1" x14ac:dyDescent="0.25">
      <c r="B270" s="132"/>
      <c r="C270" s="132"/>
    </row>
    <row r="271" spans="2:37" ht="15" hidden="1" x14ac:dyDescent="0.25">
      <c r="B271" s="132"/>
      <c r="C271" s="132"/>
    </row>
    <row r="272" spans="2:37" ht="15" hidden="1" x14ac:dyDescent="0.25">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3"/>
    <row r="2" spans="2:33" ht="15.75" customHeight="1" thickBot="1" x14ac:dyDescent="0.3">
      <c r="B2" s="743" t="str">
        <f>IF(Start!$F$12="","",Start!$F$12)</f>
        <v>16-18 Oatlands Drive</v>
      </c>
      <c r="C2" s="744"/>
      <c r="D2" s="744"/>
      <c r="E2" s="745"/>
      <c r="O2" s="908" t="str">
        <f>IF(OR(COUNTIF($O$12:O259,"*30+*")&gt;0,COUNTIF($S$12:S259,"*30+*")&gt;0),"Note; Habitat selected has a time to target condition greater than 30 years. Non standard agreement may be required. ⚠","")</f>
        <v/>
      </c>
      <c r="P2" s="908"/>
      <c r="Q2" s="908"/>
      <c r="R2" s="908"/>
      <c r="S2" s="908"/>
      <c r="T2" s="908"/>
    </row>
    <row r="3" spans="2:33" ht="15.75" customHeight="1" thickBot="1" x14ac:dyDescent="0.3">
      <c r="B3" s="999" t="str">
        <f ca="1">MID(CELL("filename",A1),FIND("]",CELL("filename",A1))+1,256)</f>
        <v>E-2 Off Site Hedge Creation</v>
      </c>
      <c r="C3" s="1000"/>
      <c r="D3" s="1000"/>
      <c r="E3" s="1001"/>
      <c r="O3" s="908"/>
      <c r="P3" s="908"/>
      <c r="Q3" s="908"/>
      <c r="R3" s="908"/>
      <c r="S3" s="908"/>
      <c r="T3" s="908"/>
    </row>
    <row r="4" spans="2:33" ht="15.75" customHeight="1" thickBot="1" x14ac:dyDescent="0.3">
      <c r="B4" s="999"/>
      <c r="C4" s="1000"/>
      <c r="D4" s="1000"/>
      <c r="E4" s="1001"/>
      <c r="O4" s="908"/>
      <c r="P4" s="908"/>
      <c r="Q4" s="908"/>
      <c r="R4" s="908"/>
      <c r="S4" s="908"/>
      <c r="T4" s="908"/>
    </row>
    <row r="5" spans="2:33" ht="15.75" customHeight="1" x14ac:dyDescent="0.25">
      <c r="O5" s="908"/>
      <c r="P5" s="908"/>
      <c r="Q5" s="908"/>
      <c r="R5" s="908"/>
      <c r="S5" s="908"/>
      <c r="T5" s="908"/>
    </row>
    <row r="6" spans="2:33" ht="15.75" customHeight="1" x14ac:dyDescent="0.25">
      <c r="O6" s="402"/>
      <c r="P6" s="402"/>
      <c r="Q6" s="402"/>
      <c r="R6" s="402"/>
      <c r="S6" s="402"/>
    </row>
    <row r="7" spans="2:33" ht="15.75" customHeight="1" x14ac:dyDescent="0.25">
      <c r="B7" s="132"/>
      <c r="C7" s="132"/>
    </row>
    <row r="8" spans="2:33" ht="15" x14ac:dyDescent="0.25">
      <c r="J8" s="131"/>
      <c r="K8" s="131"/>
      <c r="L8" s="131"/>
      <c r="M8" s="131"/>
      <c r="N8" s="131"/>
      <c r="O8" s="131"/>
      <c r="P8" s="131"/>
      <c r="Q8" s="131"/>
      <c r="R8" s="131"/>
      <c r="S8" s="131"/>
      <c r="T8" s="131"/>
      <c r="V8" s="131"/>
      <c r="W8" s="131"/>
      <c r="X8" s="131"/>
    </row>
    <row r="9" spans="2:33" ht="15.75" customHeight="1" thickBot="1" x14ac:dyDescent="0.3">
      <c r="J9" s="131"/>
      <c r="K9" s="131"/>
      <c r="L9" s="131"/>
      <c r="M9" s="138"/>
      <c r="N9" s="138"/>
      <c r="O9" s="199"/>
      <c r="P9" s="199"/>
      <c r="Q9" s="199"/>
      <c r="R9" s="199"/>
      <c r="S9" s="199"/>
      <c r="T9" s="199"/>
      <c r="U9" s="199"/>
      <c r="V9" s="199"/>
      <c r="W9" s="199"/>
      <c r="X9" s="199"/>
    </row>
    <row r="10" spans="2:33" s="42" customFormat="1" ht="30" customHeight="1" thickBot="1" x14ac:dyDescent="0.3">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57" x14ac:dyDescent="0.25">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5" x14ac:dyDescent="0.2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5" x14ac:dyDescent="0.2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5" x14ac:dyDescent="0.2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5" x14ac:dyDescent="0.2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5" x14ac:dyDescent="0.2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5" x14ac:dyDescent="0.2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5" x14ac:dyDescent="0.2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5" x14ac:dyDescent="0.2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5" x14ac:dyDescent="0.2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5" x14ac:dyDescent="0.2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5" x14ac:dyDescent="0.2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5" x14ac:dyDescent="0.2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5" x14ac:dyDescent="0.2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5" x14ac:dyDescent="0.2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5" x14ac:dyDescent="0.2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5" x14ac:dyDescent="0.2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5" x14ac:dyDescent="0.2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5" x14ac:dyDescent="0.2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5" x14ac:dyDescent="0.2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5" x14ac:dyDescent="0.2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5" x14ac:dyDescent="0.2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5" x14ac:dyDescent="0.2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5" x14ac:dyDescent="0.2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5" x14ac:dyDescent="0.2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5" x14ac:dyDescent="0.2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5" x14ac:dyDescent="0.2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5" x14ac:dyDescent="0.2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5" x14ac:dyDescent="0.2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5" x14ac:dyDescent="0.2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5" x14ac:dyDescent="0.2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5" x14ac:dyDescent="0.2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5" x14ac:dyDescent="0.2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5" x14ac:dyDescent="0.2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5" x14ac:dyDescent="0.2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5" x14ac:dyDescent="0.2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5" x14ac:dyDescent="0.2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5" x14ac:dyDescent="0.2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5" x14ac:dyDescent="0.2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5" x14ac:dyDescent="0.2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5" x14ac:dyDescent="0.2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5" x14ac:dyDescent="0.2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5" x14ac:dyDescent="0.2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5" x14ac:dyDescent="0.2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5" x14ac:dyDescent="0.2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5" x14ac:dyDescent="0.2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5" x14ac:dyDescent="0.2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5" x14ac:dyDescent="0.2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5" x14ac:dyDescent="0.2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5" x14ac:dyDescent="0.2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5" x14ac:dyDescent="0.2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5" x14ac:dyDescent="0.2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5" x14ac:dyDescent="0.2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5" x14ac:dyDescent="0.2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5" x14ac:dyDescent="0.2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5" x14ac:dyDescent="0.2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5" x14ac:dyDescent="0.2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5" x14ac:dyDescent="0.2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5" x14ac:dyDescent="0.2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5" x14ac:dyDescent="0.2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5" x14ac:dyDescent="0.2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5" x14ac:dyDescent="0.2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5" x14ac:dyDescent="0.2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5" x14ac:dyDescent="0.2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5" x14ac:dyDescent="0.2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5" x14ac:dyDescent="0.2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5" x14ac:dyDescent="0.2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5" x14ac:dyDescent="0.2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5" x14ac:dyDescent="0.2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5" x14ac:dyDescent="0.2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5" x14ac:dyDescent="0.2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5" x14ac:dyDescent="0.2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5" x14ac:dyDescent="0.2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5" x14ac:dyDescent="0.2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5" x14ac:dyDescent="0.2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5" x14ac:dyDescent="0.2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5" x14ac:dyDescent="0.2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5" x14ac:dyDescent="0.2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5" x14ac:dyDescent="0.2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5" x14ac:dyDescent="0.2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5" x14ac:dyDescent="0.2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5" x14ac:dyDescent="0.2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5" x14ac:dyDescent="0.2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5" x14ac:dyDescent="0.2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5" x14ac:dyDescent="0.2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5" x14ac:dyDescent="0.2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5" x14ac:dyDescent="0.2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5" x14ac:dyDescent="0.2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5" x14ac:dyDescent="0.2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5" x14ac:dyDescent="0.2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5" x14ac:dyDescent="0.2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5" x14ac:dyDescent="0.2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5" x14ac:dyDescent="0.2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5" x14ac:dyDescent="0.2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5" x14ac:dyDescent="0.2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5" x14ac:dyDescent="0.2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5" x14ac:dyDescent="0.2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5" x14ac:dyDescent="0.2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5" x14ac:dyDescent="0.2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5" x14ac:dyDescent="0.2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5" x14ac:dyDescent="0.2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5" x14ac:dyDescent="0.2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5" x14ac:dyDescent="0.2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5" x14ac:dyDescent="0.2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5" x14ac:dyDescent="0.2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5" x14ac:dyDescent="0.2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5" x14ac:dyDescent="0.2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5" x14ac:dyDescent="0.2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5" x14ac:dyDescent="0.2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5" x14ac:dyDescent="0.2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5" x14ac:dyDescent="0.2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5" x14ac:dyDescent="0.2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5" x14ac:dyDescent="0.2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5" x14ac:dyDescent="0.2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5" x14ac:dyDescent="0.2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5" x14ac:dyDescent="0.2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5" x14ac:dyDescent="0.2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5" x14ac:dyDescent="0.2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5" x14ac:dyDescent="0.2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5" x14ac:dyDescent="0.2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5" x14ac:dyDescent="0.2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5" x14ac:dyDescent="0.2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5" x14ac:dyDescent="0.2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5" x14ac:dyDescent="0.2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5" x14ac:dyDescent="0.2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5" x14ac:dyDescent="0.2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5" x14ac:dyDescent="0.2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5" x14ac:dyDescent="0.2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5" x14ac:dyDescent="0.2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5" x14ac:dyDescent="0.2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5" x14ac:dyDescent="0.2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5" x14ac:dyDescent="0.2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5" x14ac:dyDescent="0.2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5" x14ac:dyDescent="0.2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5" x14ac:dyDescent="0.2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5" x14ac:dyDescent="0.2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5" x14ac:dyDescent="0.2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5" x14ac:dyDescent="0.2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5" x14ac:dyDescent="0.2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5" x14ac:dyDescent="0.2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5" x14ac:dyDescent="0.2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5" x14ac:dyDescent="0.2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5" x14ac:dyDescent="0.2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5" x14ac:dyDescent="0.2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5" x14ac:dyDescent="0.2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5" x14ac:dyDescent="0.2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5" x14ac:dyDescent="0.2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5" x14ac:dyDescent="0.2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5" x14ac:dyDescent="0.2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5" x14ac:dyDescent="0.2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5" x14ac:dyDescent="0.2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5" x14ac:dyDescent="0.2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5" x14ac:dyDescent="0.2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5" x14ac:dyDescent="0.2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5" x14ac:dyDescent="0.2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5" x14ac:dyDescent="0.2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5" x14ac:dyDescent="0.2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5" x14ac:dyDescent="0.2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5" x14ac:dyDescent="0.2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5" x14ac:dyDescent="0.2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5" x14ac:dyDescent="0.2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5" x14ac:dyDescent="0.2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5" x14ac:dyDescent="0.2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5" x14ac:dyDescent="0.2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5" x14ac:dyDescent="0.2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5" x14ac:dyDescent="0.2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5" x14ac:dyDescent="0.2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5" x14ac:dyDescent="0.2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5" x14ac:dyDescent="0.2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5" x14ac:dyDescent="0.2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5" x14ac:dyDescent="0.2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5" x14ac:dyDescent="0.2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5" x14ac:dyDescent="0.2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5" x14ac:dyDescent="0.2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5" x14ac:dyDescent="0.2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5" x14ac:dyDescent="0.2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5" x14ac:dyDescent="0.2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5" x14ac:dyDescent="0.2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5" x14ac:dyDescent="0.2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5" x14ac:dyDescent="0.2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5" x14ac:dyDescent="0.2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5" x14ac:dyDescent="0.2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5" x14ac:dyDescent="0.2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5" x14ac:dyDescent="0.2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5" x14ac:dyDescent="0.2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5" x14ac:dyDescent="0.2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5" x14ac:dyDescent="0.2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5" x14ac:dyDescent="0.2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5" x14ac:dyDescent="0.2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5" x14ac:dyDescent="0.2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5" x14ac:dyDescent="0.2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5" x14ac:dyDescent="0.2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5" x14ac:dyDescent="0.2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5" x14ac:dyDescent="0.2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5" x14ac:dyDescent="0.2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5" x14ac:dyDescent="0.2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5" x14ac:dyDescent="0.2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5" x14ac:dyDescent="0.2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5" x14ac:dyDescent="0.2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5" x14ac:dyDescent="0.2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5" x14ac:dyDescent="0.2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5" x14ac:dyDescent="0.2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5" x14ac:dyDescent="0.2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5" x14ac:dyDescent="0.2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5" x14ac:dyDescent="0.2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5" x14ac:dyDescent="0.2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5" x14ac:dyDescent="0.2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5" x14ac:dyDescent="0.2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5" x14ac:dyDescent="0.2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5" x14ac:dyDescent="0.2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5" x14ac:dyDescent="0.2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5" x14ac:dyDescent="0.2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5" x14ac:dyDescent="0.2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5" x14ac:dyDescent="0.2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5" x14ac:dyDescent="0.2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5" x14ac:dyDescent="0.2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5" x14ac:dyDescent="0.2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5" x14ac:dyDescent="0.2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5" x14ac:dyDescent="0.2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5" x14ac:dyDescent="0.2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5" x14ac:dyDescent="0.2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5" x14ac:dyDescent="0.2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5" x14ac:dyDescent="0.2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5" x14ac:dyDescent="0.2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5" x14ac:dyDescent="0.2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5" x14ac:dyDescent="0.2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5" x14ac:dyDescent="0.2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5" x14ac:dyDescent="0.2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5" x14ac:dyDescent="0.2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5" x14ac:dyDescent="0.2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5" x14ac:dyDescent="0.2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5" x14ac:dyDescent="0.2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5" x14ac:dyDescent="0.2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5" x14ac:dyDescent="0.2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5" x14ac:dyDescent="0.2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5" x14ac:dyDescent="0.2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5" x14ac:dyDescent="0.2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5" x14ac:dyDescent="0.2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5" x14ac:dyDescent="0.2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5" x14ac:dyDescent="0.2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5" x14ac:dyDescent="0.2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5" x14ac:dyDescent="0.2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5" x14ac:dyDescent="0.2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5" x14ac:dyDescent="0.2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5" x14ac:dyDescent="0.2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5" x14ac:dyDescent="0.2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5" x14ac:dyDescent="0.2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5" x14ac:dyDescent="0.2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75" thickBot="1" x14ac:dyDescent="0.3">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75" thickBot="1" x14ac:dyDescent="0.3">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x14ac:dyDescent="0.25">
      <c r="E261" s="980"/>
      <c r="F261" s="980"/>
      <c r="G261" s="980"/>
      <c r="H261" s="980"/>
      <c r="I261" s="980"/>
      <c r="J261" s="980"/>
    </row>
    <row r="262" spans="2:33" ht="27" customHeight="1" x14ac:dyDescent="0.25"/>
    <row r="263" spans="2:33" ht="15" x14ac:dyDescent="0.25"/>
    <row r="264" spans="2:33" ht="15" x14ac:dyDescent="0.25"/>
    <row r="265" spans="2:33" ht="15" x14ac:dyDescent="0.25"/>
    <row r="266" spans="2:33" ht="15" hidden="1" x14ac:dyDescent="0.25"/>
    <row r="267" spans="2:33" ht="15" hidden="1" x14ac:dyDescent="0.25"/>
    <row r="268" spans="2:33" ht="15" hidden="1" x14ac:dyDescent="0.25"/>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election activeCell="F12" sqref="F12:J12"/>
    </sheetView>
  </sheetViews>
  <sheetFormatPr defaultColWidth="0" defaultRowHeight="0" customHeight="1" zeroHeight="1" x14ac:dyDescent="0.25"/>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669"/>
      <c r="G1" s="669"/>
      <c r="H1" s="669"/>
      <c r="I1" s="669"/>
      <c r="J1" s="669"/>
      <c r="K1" s="670"/>
      <c r="L1" s="670"/>
      <c r="M1" s="670"/>
      <c r="N1" s="670"/>
      <c r="O1" s="670"/>
      <c r="P1" s="670"/>
    </row>
    <row r="2" spans="1:19" ht="15.75" customHeight="1" x14ac:dyDescent="0.4">
      <c r="B2" s="12"/>
      <c r="C2" s="12"/>
      <c r="E2" s="13"/>
    </row>
    <row r="3" spans="1:19" ht="15.75" customHeight="1" x14ac:dyDescent="0.4">
      <c r="A3" s="13"/>
      <c r="B3" s="13"/>
      <c r="C3" s="13"/>
      <c r="D3" s="13"/>
      <c r="E3" s="13"/>
      <c r="F3" s="671"/>
      <c r="G3" s="671"/>
      <c r="H3" s="671"/>
      <c r="I3" s="671"/>
      <c r="J3" s="671"/>
      <c r="K3" s="671"/>
      <c r="L3" s="671"/>
      <c r="M3" s="671"/>
      <c r="N3" s="671"/>
      <c r="O3" s="671"/>
      <c r="P3" s="671"/>
      <c r="Q3" s="671"/>
    </row>
    <row r="4" spans="1:19" ht="16.5" customHeight="1" x14ac:dyDescent="0.4">
      <c r="A4" s="13"/>
      <c r="B4" s="13"/>
      <c r="C4" s="13"/>
      <c r="D4" s="13"/>
      <c r="E4" s="13"/>
      <c r="F4" s="671"/>
      <c r="G4" s="671"/>
      <c r="H4" s="671"/>
      <c r="I4" s="671"/>
      <c r="J4" s="671"/>
      <c r="K4" s="671"/>
      <c r="L4" s="671"/>
      <c r="M4" s="671"/>
      <c r="N4" s="671"/>
      <c r="O4" s="671"/>
      <c r="P4" s="671"/>
      <c r="Q4" s="671"/>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677"/>
      <c r="F8" s="677"/>
      <c r="G8" s="677"/>
      <c r="H8" s="677"/>
      <c r="I8" s="677"/>
      <c r="J8" s="677"/>
      <c r="K8" s="14"/>
      <c r="L8" s="14"/>
      <c r="M8" s="14"/>
      <c r="N8" s="14"/>
      <c r="O8" s="14"/>
      <c r="P8" s="14"/>
      <c r="Q8" s="14"/>
      <c r="R8" s="14"/>
      <c r="S8" s="14"/>
    </row>
    <row r="9" spans="1:19" ht="23.45" customHeight="1" x14ac:dyDescent="0.25">
      <c r="B9" s="12"/>
      <c r="D9" s="686" t="s">
        <v>0</v>
      </c>
      <c r="E9" s="687"/>
      <c r="F9" s="687"/>
      <c r="G9" s="687"/>
      <c r="H9" s="687"/>
      <c r="I9" s="687"/>
      <c r="J9" s="688"/>
      <c r="K9" s="14"/>
      <c r="L9" s="14"/>
      <c r="M9" s="14"/>
      <c r="N9" s="14"/>
      <c r="O9" s="14"/>
      <c r="P9" s="14"/>
      <c r="Q9" s="14"/>
      <c r="R9" s="14"/>
      <c r="S9" s="14"/>
    </row>
    <row r="10" spans="1:19" ht="21.6" customHeight="1" thickBot="1" x14ac:dyDescent="0.3">
      <c r="B10" s="12"/>
      <c r="D10" s="689"/>
      <c r="E10" s="690"/>
      <c r="F10" s="690"/>
      <c r="G10" s="690"/>
      <c r="H10" s="690"/>
      <c r="I10" s="690"/>
      <c r="J10" s="691"/>
      <c r="K10" s="14"/>
      <c r="L10" s="14"/>
      <c r="M10" s="14"/>
      <c r="N10" s="14"/>
      <c r="P10" s="14"/>
      <c r="Q10" s="14"/>
      <c r="R10" s="14"/>
    </row>
    <row r="11" spans="1:19" ht="25.9" customHeight="1" x14ac:dyDescent="0.25">
      <c r="B11" s="12"/>
      <c r="D11" s="672" t="s">
        <v>1</v>
      </c>
      <c r="E11" s="673"/>
      <c r="F11" s="674"/>
      <c r="G11" s="675"/>
      <c r="H11" s="675"/>
      <c r="I11" s="675"/>
      <c r="J11" s="676"/>
      <c r="K11" s="14"/>
      <c r="L11" s="14"/>
      <c r="M11" s="14"/>
      <c r="N11" s="14"/>
      <c r="P11" s="14"/>
      <c r="Q11" s="14"/>
      <c r="R11" s="14"/>
    </row>
    <row r="12" spans="1:19" ht="24" customHeight="1" x14ac:dyDescent="0.25">
      <c r="B12" s="12"/>
      <c r="D12" s="667" t="s">
        <v>2</v>
      </c>
      <c r="E12" s="668"/>
      <c r="F12" s="692" t="s">
        <v>1558</v>
      </c>
      <c r="G12" s="693"/>
      <c r="H12" s="693"/>
      <c r="I12" s="693"/>
      <c r="J12" s="694"/>
      <c r="K12" s="14"/>
      <c r="L12" s="14"/>
      <c r="M12" s="14"/>
      <c r="N12" s="14"/>
      <c r="P12" s="14"/>
      <c r="Q12" s="14"/>
      <c r="R12" s="14"/>
    </row>
    <row r="13" spans="1:19" ht="21.6" customHeight="1" x14ac:dyDescent="0.25">
      <c r="B13" s="12"/>
      <c r="D13" s="698" t="s">
        <v>3</v>
      </c>
      <c r="E13" s="699"/>
      <c r="F13" s="692"/>
      <c r="G13" s="693"/>
      <c r="H13" s="693"/>
      <c r="I13" s="693"/>
      <c r="J13" s="694"/>
      <c r="K13" s="14"/>
      <c r="L13" s="14"/>
      <c r="M13" s="14"/>
      <c r="N13" s="14"/>
      <c r="P13" s="14"/>
      <c r="Q13" s="14"/>
      <c r="R13" s="14"/>
    </row>
    <row r="14" spans="1:19" ht="22.15" customHeight="1" x14ac:dyDescent="0.25">
      <c r="B14" s="12"/>
      <c r="D14" s="667" t="s">
        <v>4</v>
      </c>
      <c r="E14" s="668"/>
      <c r="F14" s="692"/>
      <c r="G14" s="693"/>
      <c r="H14" s="693"/>
      <c r="I14" s="693"/>
      <c r="J14" s="694"/>
      <c r="K14" s="14"/>
      <c r="L14" s="14"/>
      <c r="M14" s="14"/>
      <c r="N14" s="14"/>
      <c r="P14" s="14"/>
      <c r="Q14" s="14"/>
      <c r="R14" s="14"/>
    </row>
    <row r="15" spans="1:19" ht="21.6" customHeight="1" x14ac:dyDescent="0.25">
      <c r="B15" s="12"/>
      <c r="D15" s="667" t="s">
        <v>5</v>
      </c>
      <c r="E15" s="668"/>
      <c r="F15" s="692"/>
      <c r="G15" s="693"/>
      <c r="H15" s="693"/>
      <c r="I15" s="693"/>
      <c r="J15" s="694"/>
      <c r="K15" s="14"/>
      <c r="L15" s="14"/>
      <c r="M15" s="14"/>
      <c r="N15" s="14"/>
      <c r="P15" s="14"/>
      <c r="Q15" s="14"/>
      <c r="R15" s="14"/>
    </row>
    <row r="16" spans="1:19" ht="21" customHeight="1" x14ac:dyDescent="0.25">
      <c r="D16" s="667" t="s">
        <v>6</v>
      </c>
      <c r="E16" s="668"/>
      <c r="F16" s="692"/>
      <c r="G16" s="693"/>
      <c r="H16" s="693"/>
      <c r="I16" s="693"/>
      <c r="J16" s="694"/>
      <c r="K16" s="14"/>
      <c r="L16" s="14"/>
      <c r="M16" s="14"/>
      <c r="N16" s="14"/>
      <c r="P16" s="14"/>
      <c r="Q16" s="14"/>
      <c r="R16" s="14"/>
    </row>
    <row r="17" spans="3:18" ht="23.45" customHeight="1" x14ac:dyDescent="0.25">
      <c r="D17" s="667" t="s">
        <v>7</v>
      </c>
      <c r="E17" s="668"/>
      <c r="F17" s="692"/>
      <c r="G17" s="693"/>
      <c r="H17" s="693"/>
      <c r="I17" s="693"/>
      <c r="J17" s="694"/>
      <c r="K17" s="14"/>
      <c r="L17" s="14"/>
      <c r="M17" s="14"/>
      <c r="N17" s="14"/>
      <c r="P17" s="14"/>
      <c r="Q17" s="14"/>
      <c r="R17" s="14"/>
    </row>
    <row r="18" spans="3:18" ht="19.899999999999999" customHeight="1" x14ac:dyDescent="0.25">
      <c r="D18" s="667" t="s">
        <v>8</v>
      </c>
      <c r="E18" s="668"/>
      <c r="F18" s="692"/>
      <c r="G18" s="693"/>
      <c r="H18" s="693"/>
      <c r="I18" s="693"/>
      <c r="J18" s="694"/>
      <c r="K18" s="14"/>
      <c r="L18" s="14"/>
      <c r="M18" s="14"/>
      <c r="N18" s="14"/>
      <c r="P18" s="14"/>
      <c r="Q18" s="14"/>
      <c r="R18" s="14"/>
    </row>
    <row r="19" spans="3:18" ht="19.899999999999999" customHeight="1" x14ac:dyDescent="0.25">
      <c r="D19" s="667" t="s">
        <v>9</v>
      </c>
      <c r="E19" s="668"/>
      <c r="F19" s="695"/>
      <c r="G19" s="696"/>
      <c r="H19" s="696"/>
      <c r="I19" s="696"/>
      <c r="J19" s="697"/>
      <c r="K19" s="14"/>
      <c r="L19" s="14"/>
      <c r="M19" s="14"/>
      <c r="N19" s="14"/>
      <c r="P19" s="14"/>
      <c r="Q19" s="14"/>
      <c r="R19" s="14"/>
    </row>
    <row r="20" spans="3:18" ht="21.6" customHeight="1" thickBot="1" x14ac:dyDescent="0.3">
      <c r="D20" s="700" t="s">
        <v>10</v>
      </c>
      <c r="E20" s="701"/>
      <c r="F20" s="702"/>
      <c r="G20" s="703"/>
      <c r="H20" s="703"/>
      <c r="I20" s="703"/>
      <c r="J20" s="704"/>
      <c r="K20" s="14"/>
      <c r="L20" s="14"/>
      <c r="M20" s="14"/>
      <c r="N20" s="14"/>
      <c r="P20" s="14"/>
      <c r="Q20" s="14"/>
      <c r="R20" s="14"/>
    </row>
    <row r="21" spans="3:18" ht="16.5" customHeight="1" x14ac:dyDescent="0.25">
      <c r="P21" s="14"/>
      <c r="Q21" s="14"/>
      <c r="R21" s="14"/>
    </row>
    <row r="22" spans="3:18" ht="16.5" customHeight="1" thickBot="1" x14ac:dyDescent="0.3">
      <c r="C22" s="14"/>
      <c r="D22" s="14"/>
      <c r="E22" s="14"/>
      <c r="F22" s="14"/>
      <c r="G22" s="14"/>
      <c r="H22" s="14"/>
      <c r="I22" s="14"/>
      <c r="J22" s="14"/>
      <c r="K22" s="14"/>
      <c r="P22" s="14"/>
      <c r="Q22" s="14"/>
      <c r="R22" s="14"/>
    </row>
    <row r="23" spans="3:18" ht="20.25" customHeight="1" thickBot="1" x14ac:dyDescent="0.35">
      <c r="C23" s="14"/>
      <c r="D23" s="707" t="s">
        <v>11</v>
      </c>
      <c r="E23" s="708"/>
      <c r="F23" s="708"/>
      <c r="G23" s="708"/>
      <c r="H23" s="708"/>
      <c r="I23" s="708"/>
      <c r="J23" s="709"/>
      <c r="K23" s="14"/>
      <c r="L23" s="15"/>
      <c r="M23" s="15"/>
      <c r="N23" s="15"/>
      <c r="P23" s="14"/>
      <c r="Q23" s="14"/>
      <c r="R23" s="14"/>
    </row>
    <row r="24" spans="3:18" ht="16.5" customHeight="1" x14ac:dyDescent="0.25">
      <c r="P24" s="14"/>
      <c r="Q24" s="14"/>
      <c r="R24" s="14"/>
    </row>
    <row r="25" spans="3:18" ht="16.5" customHeight="1" x14ac:dyDescent="0.25">
      <c r="D25" s="705"/>
      <c r="E25" s="706"/>
      <c r="F25" s="680" t="s">
        <v>12</v>
      </c>
      <c r="G25" s="681"/>
      <c r="H25" s="681"/>
      <c r="I25" s="681"/>
      <c r="J25" s="682"/>
      <c r="K25" s="14"/>
      <c r="L25" s="14"/>
      <c r="M25" s="14"/>
      <c r="N25" s="14"/>
      <c r="P25" s="14"/>
      <c r="Q25" s="14"/>
      <c r="R25" s="14"/>
    </row>
    <row r="26" spans="3:18" ht="16.5" customHeight="1" x14ac:dyDescent="0.25">
      <c r="D26" s="710"/>
      <c r="E26" s="711"/>
      <c r="F26" s="680" t="s">
        <v>13</v>
      </c>
      <c r="G26" s="681"/>
      <c r="H26" s="681"/>
      <c r="I26" s="681"/>
      <c r="J26" s="682"/>
      <c r="K26" s="14"/>
      <c r="L26" s="14"/>
      <c r="M26" s="14"/>
      <c r="N26" s="14"/>
      <c r="P26" s="14"/>
      <c r="Q26" s="14"/>
      <c r="R26" s="14"/>
    </row>
    <row r="27" spans="3:18" ht="16.5" customHeight="1" thickBot="1" x14ac:dyDescent="0.3">
      <c r="D27" s="678"/>
      <c r="E27" s="679"/>
      <c r="F27" s="683" t="s">
        <v>14</v>
      </c>
      <c r="G27" s="684"/>
      <c r="H27" s="684"/>
      <c r="I27" s="684"/>
      <c r="J27" s="685"/>
      <c r="K27" s="14"/>
      <c r="L27" s="14"/>
      <c r="M27" s="14"/>
      <c r="N27" s="14"/>
      <c r="P27" s="14"/>
      <c r="Q27" s="14"/>
      <c r="R27" s="14"/>
    </row>
    <row r="28" spans="3:18" ht="16.5" customHeight="1" x14ac:dyDescent="0.25">
      <c r="D28" s="14"/>
      <c r="E28" s="14"/>
      <c r="F28" s="14"/>
      <c r="G28" s="14"/>
      <c r="H28" s="14"/>
      <c r="I28" s="14"/>
      <c r="J28" s="14"/>
      <c r="K28" s="14"/>
      <c r="L28" s="14"/>
      <c r="M28" s="14"/>
      <c r="N28" s="14"/>
      <c r="P28" s="14"/>
      <c r="Q28" s="14"/>
      <c r="R28" s="14"/>
    </row>
    <row r="29" spans="3:18" ht="24" customHeight="1" x14ac:dyDescent="0.25">
      <c r="D29" s="14"/>
      <c r="E29" s="14"/>
      <c r="F29" s="14"/>
      <c r="G29" s="14"/>
      <c r="H29" s="14"/>
      <c r="I29" s="14"/>
      <c r="J29" s="14"/>
      <c r="K29" s="14"/>
      <c r="L29" s="14"/>
      <c r="M29" s="14"/>
      <c r="N29" s="14"/>
      <c r="P29" s="14"/>
      <c r="Q29" s="14"/>
      <c r="R29" s="14"/>
    </row>
    <row r="30" spans="3:18" ht="15.75" x14ac:dyDescent="0.25">
      <c r="D30" s="14"/>
      <c r="E30" s="14"/>
      <c r="F30" s="14"/>
      <c r="G30" s="14"/>
      <c r="H30" s="14"/>
      <c r="I30" s="14"/>
      <c r="J30" s="14"/>
      <c r="K30" s="14"/>
      <c r="L30" s="14"/>
      <c r="M30" s="14"/>
      <c r="N30" s="14"/>
      <c r="P30" s="14"/>
      <c r="Q30" s="14"/>
      <c r="R30" s="14"/>
    </row>
    <row r="31" spans="3:18" ht="15.75" x14ac:dyDescent="0.25">
      <c r="D31" s="14"/>
      <c r="E31" s="14"/>
      <c r="F31" s="14"/>
      <c r="G31" s="14"/>
      <c r="H31" s="14"/>
      <c r="I31" s="14"/>
      <c r="J31" s="14"/>
      <c r="K31" s="14"/>
      <c r="L31" s="14"/>
      <c r="M31" s="14"/>
      <c r="N31" s="14"/>
      <c r="O31" s="14"/>
      <c r="P31" s="14"/>
      <c r="Q31" s="14"/>
      <c r="R31" s="14"/>
    </row>
    <row r="32" spans="3:18" ht="15.75" x14ac:dyDescent="0.25">
      <c r="D32" s="14"/>
      <c r="E32" s="14"/>
      <c r="F32" s="14"/>
      <c r="G32" s="14"/>
      <c r="H32" s="14"/>
      <c r="I32" s="14"/>
      <c r="J32" s="14"/>
      <c r="K32" s="14"/>
      <c r="L32" s="14"/>
      <c r="M32" s="14"/>
      <c r="N32" s="14"/>
      <c r="O32" s="14"/>
      <c r="P32" s="14"/>
      <c r="Q32" s="14"/>
      <c r="R32" s="14"/>
    </row>
    <row r="33" spans="4:18" ht="15.75" x14ac:dyDescent="0.25">
      <c r="D33" s="14"/>
      <c r="E33" s="14"/>
      <c r="F33" s="14"/>
      <c r="G33" s="14"/>
      <c r="H33" s="14"/>
      <c r="I33" s="14"/>
      <c r="J33" s="14"/>
      <c r="K33" s="14"/>
      <c r="L33" s="14"/>
      <c r="M33" s="14"/>
      <c r="N33" s="14"/>
      <c r="O33" s="14"/>
      <c r="P33" s="14"/>
      <c r="Q33" s="14"/>
      <c r="R33" s="14"/>
    </row>
    <row r="34" spans="4:18" ht="15.75" x14ac:dyDescent="0.25">
      <c r="D34" s="14"/>
      <c r="E34" s="14"/>
      <c r="F34" s="14"/>
      <c r="G34" s="14"/>
      <c r="H34" s="14"/>
      <c r="I34" s="14"/>
      <c r="J34" s="14"/>
      <c r="K34" s="14"/>
      <c r="L34" s="14"/>
      <c r="M34" s="14"/>
      <c r="N34" s="14"/>
      <c r="O34" s="14"/>
      <c r="P34" s="14"/>
      <c r="Q34" s="14"/>
      <c r="R34" s="14"/>
    </row>
    <row r="35" spans="4:18" ht="15.75" x14ac:dyDescent="0.25">
      <c r="D35" s="14"/>
      <c r="E35" s="14"/>
      <c r="F35" s="14"/>
      <c r="G35" s="14"/>
      <c r="H35" s="14"/>
      <c r="I35" s="14"/>
      <c r="J35" s="14"/>
      <c r="K35" s="14"/>
      <c r="L35" s="14"/>
      <c r="M35" s="14"/>
      <c r="N35" s="14"/>
      <c r="O35" s="14"/>
      <c r="P35" s="14"/>
      <c r="Q35" s="14"/>
      <c r="R35" s="14"/>
    </row>
    <row r="36" spans="4:18" ht="15.75" x14ac:dyDescent="0.25">
      <c r="D36" s="14"/>
      <c r="E36" s="14"/>
      <c r="F36" s="14"/>
      <c r="G36" s="14"/>
      <c r="H36" s="14"/>
      <c r="I36" s="14"/>
      <c r="J36" s="14"/>
      <c r="K36" s="14"/>
      <c r="L36" s="14"/>
      <c r="M36" s="14"/>
      <c r="N36" s="14"/>
      <c r="O36" s="14"/>
      <c r="P36" s="14"/>
      <c r="Q36" s="14"/>
      <c r="R36" s="14"/>
    </row>
    <row r="37" spans="4:18" ht="15.75" x14ac:dyDescent="0.25">
      <c r="D37" s="14"/>
      <c r="E37" s="14"/>
      <c r="F37" s="14"/>
      <c r="G37" s="14"/>
      <c r="H37" s="14"/>
      <c r="I37" s="14"/>
      <c r="J37" s="14"/>
      <c r="K37" s="14"/>
      <c r="L37" s="14"/>
      <c r="M37" s="14"/>
      <c r="N37" s="14"/>
      <c r="O37" s="14"/>
      <c r="P37" s="14"/>
      <c r="Q37" s="14"/>
      <c r="R37" s="14"/>
    </row>
    <row r="38" spans="4:18" ht="15.75" x14ac:dyDescent="0.25">
      <c r="D38" s="14"/>
      <c r="E38" s="14"/>
      <c r="F38" s="14"/>
      <c r="G38" s="14"/>
      <c r="H38" s="14"/>
      <c r="I38" s="14"/>
      <c r="J38" s="14"/>
      <c r="K38" s="14"/>
      <c r="L38" s="14"/>
      <c r="M38" s="14"/>
      <c r="N38" s="14"/>
      <c r="O38" s="14"/>
      <c r="P38" s="14"/>
      <c r="Q38" s="14"/>
      <c r="R38" s="14"/>
    </row>
    <row r="39" spans="4:18" ht="15.75" x14ac:dyDescent="0.25">
      <c r="D39" s="14"/>
      <c r="E39" s="14"/>
      <c r="F39" s="14"/>
      <c r="G39" s="14"/>
      <c r="H39" s="14"/>
      <c r="I39" s="14"/>
      <c r="J39" s="14"/>
      <c r="K39" s="14"/>
      <c r="L39" s="14"/>
      <c r="M39" s="14"/>
      <c r="N39" s="14"/>
      <c r="O39" s="14"/>
      <c r="P39" s="14"/>
      <c r="Q39" s="14"/>
      <c r="R39" s="14"/>
    </row>
    <row r="40" spans="4:18" ht="15.75" x14ac:dyDescent="0.25">
      <c r="D40" s="14"/>
      <c r="E40" s="14"/>
      <c r="F40" s="14"/>
      <c r="G40" s="14"/>
      <c r="H40" s="14"/>
      <c r="I40" s="14"/>
      <c r="J40" s="14"/>
      <c r="K40" s="14"/>
      <c r="L40" s="14"/>
      <c r="M40" s="14"/>
      <c r="N40" s="14"/>
      <c r="O40" s="14"/>
      <c r="P40" s="14"/>
      <c r="Q40" s="14"/>
      <c r="R40" s="14"/>
    </row>
    <row r="41" spans="4:18" ht="15.75" x14ac:dyDescent="0.25">
      <c r="D41" s="14"/>
      <c r="E41" s="14"/>
      <c r="F41" s="14"/>
      <c r="G41" s="14"/>
      <c r="H41" s="14"/>
      <c r="I41" s="14"/>
      <c r="J41" s="14"/>
      <c r="K41" s="14"/>
      <c r="L41" s="14"/>
      <c r="M41" s="14"/>
      <c r="N41" s="14"/>
      <c r="O41" s="14"/>
      <c r="P41" s="14"/>
      <c r="Q41" s="14"/>
      <c r="R41" s="14"/>
    </row>
    <row r="42" spans="4:18" ht="15.75" x14ac:dyDescent="0.25">
      <c r="D42" s="14"/>
      <c r="E42" s="14"/>
      <c r="F42" s="14"/>
      <c r="G42" s="14"/>
      <c r="H42" s="14"/>
      <c r="I42" s="14"/>
      <c r="J42" s="14"/>
      <c r="K42" s="14"/>
      <c r="L42" s="14"/>
      <c r="M42" s="14"/>
      <c r="N42" s="14"/>
      <c r="O42" s="14"/>
      <c r="P42" s="14"/>
      <c r="Q42" s="14"/>
      <c r="R42" s="14"/>
    </row>
    <row r="43" spans="4:18" ht="15.75" x14ac:dyDescent="0.25">
      <c r="D43" s="14"/>
      <c r="E43" s="14"/>
      <c r="F43" s="14"/>
      <c r="G43" s="14"/>
      <c r="H43" s="14"/>
      <c r="I43" s="14"/>
      <c r="J43" s="14"/>
      <c r="K43" s="14"/>
      <c r="L43" s="14"/>
      <c r="M43" s="14"/>
      <c r="N43" s="14"/>
      <c r="O43" s="14"/>
      <c r="P43" s="14"/>
      <c r="Q43" s="14"/>
      <c r="R43" s="14"/>
    </row>
    <row r="44" spans="4:18" ht="15.75" x14ac:dyDescent="0.25">
      <c r="D44" s="14"/>
      <c r="E44" s="14"/>
      <c r="F44" s="14"/>
      <c r="G44" s="14"/>
      <c r="H44" s="14"/>
      <c r="I44" s="14"/>
      <c r="J44" s="14"/>
      <c r="K44" s="14"/>
      <c r="L44" s="14"/>
      <c r="M44" s="14"/>
      <c r="N44" s="14"/>
      <c r="O44" s="14"/>
      <c r="P44" s="14"/>
      <c r="Q44" s="14"/>
      <c r="R44" s="14"/>
    </row>
    <row r="45" spans="4:18" ht="21" customHeight="1" x14ac:dyDescent="0.25">
      <c r="D45" s="14"/>
      <c r="E45" s="14"/>
      <c r="F45" s="14"/>
      <c r="G45" s="14"/>
      <c r="H45" s="14"/>
      <c r="I45" s="14"/>
      <c r="J45" s="14"/>
      <c r="K45" s="14"/>
      <c r="L45" s="14"/>
      <c r="M45" s="14"/>
      <c r="N45" s="14"/>
      <c r="O45" s="14"/>
      <c r="P45" s="14"/>
      <c r="Q45" s="14"/>
      <c r="R45" s="14"/>
    </row>
    <row r="46" spans="4:18" ht="15.75" x14ac:dyDescent="0.25">
      <c r="P46" s="14"/>
      <c r="Q46" s="14"/>
      <c r="R46" s="14"/>
    </row>
    <row r="47" spans="4:18" ht="15" x14ac:dyDescent="0.25"/>
    <row r="48" spans="4:18" ht="15" x14ac:dyDescent="0.25"/>
    <row r="49" ht="15" x14ac:dyDescent="0.25"/>
    <row r="50" ht="15" x14ac:dyDescent="0.25"/>
    <row r="51" ht="6" customHeight="1" x14ac:dyDescent="0.25"/>
    <row r="52" ht="15" x14ac:dyDescent="0.25"/>
    <row r="53" ht="15" x14ac:dyDescent="0.25"/>
    <row r="54" ht="15" x14ac:dyDescent="0.25"/>
    <row r="55" ht="63.75" customHeight="1" x14ac:dyDescent="0.25"/>
    <row r="56" ht="105.75" customHeight="1" x14ac:dyDescent="0.25"/>
    <row r="57" ht="48.75" customHeight="1" x14ac:dyDescent="0.25"/>
    <row r="58" ht="105.75" customHeight="1" x14ac:dyDescent="0.25"/>
    <row r="59" ht="105.75" customHeight="1" x14ac:dyDescent="0.25"/>
    <row r="60" ht="105.75" customHeight="1" x14ac:dyDescent="0.25"/>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5"/>
    <row r="2" spans="2:42" ht="19.899999999999999" customHeight="1" x14ac:dyDescent="0.25">
      <c r="B2" s="191"/>
      <c r="C2" s="192"/>
      <c r="O2" s="132"/>
      <c r="X2" s="908" t="str">
        <f>IF(OR(COUNTIF($X$12:X257,"*30+*")&gt;0,COUNTIF($AB$12:AB257,"*30+*")&gt;0),"Note; Habitat selected has a time to target condition greater than 30 years. Non standard agreement may be required. ⚠","")</f>
        <v/>
      </c>
      <c r="Y2" s="908"/>
      <c r="Z2" s="908"/>
      <c r="AA2" s="908"/>
      <c r="AB2" s="908"/>
      <c r="AC2" s="908"/>
    </row>
    <row r="3" spans="2:42" ht="19.149999999999999" customHeight="1" x14ac:dyDescent="0.25">
      <c r="B3" s="1006" t="str">
        <f ca="1">MID(CELL("filename",A1),FIND("]",CELL("filename",A1))+1,256)</f>
        <v>E-3 Off Site Hedge Enhancement</v>
      </c>
      <c r="C3" s="1007"/>
      <c r="X3" s="908"/>
      <c r="Y3" s="908"/>
      <c r="Z3" s="908"/>
      <c r="AA3" s="908"/>
      <c r="AB3" s="908"/>
      <c r="AC3" s="908"/>
    </row>
    <row r="4" spans="2:42" ht="15.75" customHeight="1" x14ac:dyDescent="0.25">
      <c r="B4" s="1008"/>
      <c r="C4" s="1009"/>
      <c r="X4" s="908"/>
      <c r="Y4" s="908"/>
      <c r="Z4" s="908"/>
      <c r="AA4" s="908"/>
      <c r="AB4" s="908"/>
      <c r="AC4" s="908"/>
    </row>
    <row r="5" spans="2:42" ht="15.75" customHeight="1" x14ac:dyDescent="0.25">
      <c r="W5" s="193"/>
      <c r="X5" s="193"/>
      <c r="Y5" s="193"/>
      <c r="Z5" s="193"/>
      <c r="AA5" s="193"/>
      <c r="AB5" s="193"/>
      <c r="AC5" s="193"/>
      <c r="AD5" s="193"/>
      <c r="AE5" s="193"/>
      <c r="AF5" s="193"/>
      <c r="AG5" s="193"/>
      <c r="AH5" s="193"/>
    </row>
    <row r="6" spans="2:42" ht="27.6" customHeight="1" x14ac:dyDescent="0.25"/>
    <row r="7" spans="2:42" ht="15.75" thickBot="1" x14ac:dyDescent="0.3">
      <c r="B7" s="132"/>
      <c r="C7" s="132"/>
      <c r="M7" s="131"/>
    </row>
    <row r="8" spans="2:42" ht="15.75" thickBot="1" x14ac:dyDescent="0.3">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75" thickBot="1" x14ac:dyDescent="0.3">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3">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5" x14ac:dyDescent="0.2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5" x14ac:dyDescent="0.2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5" x14ac:dyDescent="0.2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5" x14ac:dyDescent="0.2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5" x14ac:dyDescent="0.2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5" x14ac:dyDescent="0.2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5" x14ac:dyDescent="0.2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5" x14ac:dyDescent="0.2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5" x14ac:dyDescent="0.2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5" x14ac:dyDescent="0.2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5" x14ac:dyDescent="0.2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5" x14ac:dyDescent="0.2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5" x14ac:dyDescent="0.2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5" x14ac:dyDescent="0.2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5" x14ac:dyDescent="0.2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5" x14ac:dyDescent="0.2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5" x14ac:dyDescent="0.2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5" x14ac:dyDescent="0.2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5" x14ac:dyDescent="0.2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5" x14ac:dyDescent="0.2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5" x14ac:dyDescent="0.2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5" x14ac:dyDescent="0.2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5" x14ac:dyDescent="0.2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5" x14ac:dyDescent="0.2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5" x14ac:dyDescent="0.2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5" x14ac:dyDescent="0.2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5" x14ac:dyDescent="0.2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5" x14ac:dyDescent="0.2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5" x14ac:dyDescent="0.2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5" x14ac:dyDescent="0.2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5" x14ac:dyDescent="0.2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5" x14ac:dyDescent="0.2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5" x14ac:dyDescent="0.2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5" x14ac:dyDescent="0.2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5" x14ac:dyDescent="0.2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5" x14ac:dyDescent="0.2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5" x14ac:dyDescent="0.2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5" x14ac:dyDescent="0.2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5" x14ac:dyDescent="0.2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5" x14ac:dyDescent="0.2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5" x14ac:dyDescent="0.2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5" x14ac:dyDescent="0.2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5" x14ac:dyDescent="0.2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5" x14ac:dyDescent="0.2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5" x14ac:dyDescent="0.2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5" x14ac:dyDescent="0.2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5" x14ac:dyDescent="0.2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5" x14ac:dyDescent="0.2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5" x14ac:dyDescent="0.2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5" x14ac:dyDescent="0.2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5" x14ac:dyDescent="0.2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5" x14ac:dyDescent="0.2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5" x14ac:dyDescent="0.2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5" x14ac:dyDescent="0.2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5" x14ac:dyDescent="0.2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5" x14ac:dyDescent="0.2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5" x14ac:dyDescent="0.2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5" x14ac:dyDescent="0.2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5" x14ac:dyDescent="0.2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5" x14ac:dyDescent="0.2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5" x14ac:dyDescent="0.2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5" x14ac:dyDescent="0.2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5" x14ac:dyDescent="0.2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5" x14ac:dyDescent="0.2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5" x14ac:dyDescent="0.2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5" x14ac:dyDescent="0.2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5" x14ac:dyDescent="0.2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5" x14ac:dyDescent="0.2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5" x14ac:dyDescent="0.2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5" x14ac:dyDescent="0.2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5" x14ac:dyDescent="0.2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5" x14ac:dyDescent="0.2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5" x14ac:dyDescent="0.2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5" x14ac:dyDescent="0.2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5" x14ac:dyDescent="0.2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5" x14ac:dyDescent="0.2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5" x14ac:dyDescent="0.2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5" x14ac:dyDescent="0.2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5" x14ac:dyDescent="0.2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5" x14ac:dyDescent="0.2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5" x14ac:dyDescent="0.2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5" x14ac:dyDescent="0.2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5" x14ac:dyDescent="0.2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5" x14ac:dyDescent="0.2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5" x14ac:dyDescent="0.2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5" x14ac:dyDescent="0.2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5" x14ac:dyDescent="0.2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5" x14ac:dyDescent="0.2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5" x14ac:dyDescent="0.2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5" x14ac:dyDescent="0.2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5" x14ac:dyDescent="0.2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5" x14ac:dyDescent="0.2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5" x14ac:dyDescent="0.2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5" x14ac:dyDescent="0.2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5" x14ac:dyDescent="0.2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5" x14ac:dyDescent="0.2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5" x14ac:dyDescent="0.2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5" x14ac:dyDescent="0.2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5" x14ac:dyDescent="0.2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5" x14ac:dyDescent="0.2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5" x14ac:dyDescent="0.2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5" x14ac:dyDescent="0.2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5" x14ac:dyDescent="0.2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5" x14ac:dyDescent="0.2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5" x14ac:dyDescent="0.2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5" x14ac:dyDescent="0.2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5" x14ac:dyDescent="0.2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5" x14ac:dyDescent="0.2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5" x14ac:dyDescent="0.2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5" x14ac:dyDescent="0.2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5" x14ac:dyDescent="0.2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5" x14ac:dyDescent="0.2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5" x14ac:dyDescent="0.2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5" x14ac:dyDescent="0.2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5" x14ac:dyDescent="0.2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5" x14ac:dyDescent="0.2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5" x14ac:dyDescent="0.2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5" x14ac:dyDescent="0.2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5" x14ac:dyDescent="0.2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5" x14ac:dyDescent="0.2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5" x14ac:dyDescent="0.2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5" x14ac:dyDescent="0.2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5" x14ac:dyDescent="0.2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5" x14ac:dyDescent="0.2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5" x14ac:dyDescent="0.2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5" x14ac:dyDescent="0.2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5" x14ac:dyDescent="0.2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5" x14ac:dyDescent="0.2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5" x14ac:dyDescent="0.2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5" x14ac:dyDescent="0.2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5" x14ac:dyDescent="0.2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5" x14ac:dyDescent="0.2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5" x14ac:dyDescent="0.2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5" x14ac:dyDescent="0.2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5" x14ac:dyDescent="0.2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5" x14ac:dyDescent="0.2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5" x14ac:dyDescent="0.2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5" x14ac:dyDescent="0.2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5" x14ac:dyDescent="0.2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5" x14ac:dyDescent="0.2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5" x14ac:dyDescent="0.2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5" x14ac:dyDescent="0.2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5" x14ac:dyDescent="0.2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5" x14ac:dyDescent="0.2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5" x14ac:dyDescent="0.2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5" x14ac:dyDescent="0.2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5" x14ac:dyDescent="0.2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5" x14ac:dyDescent="0.2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5" x14ac:dyDescent="0.2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5" x14ac:dyDescent="0.2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5" x14ac:dyDescent="0.2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5" x14ac:dyDescent="0.2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5" x14ac:dyDescent="0.2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5" x14ac:dyDescent="0.2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5" x14ac:dyDescent="0.2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5" x14ac:dyDescent="0.2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5" x14ac:dyDescent="0.2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5" x14ac:dyDescent="0.2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5" x14ac:dyDescent="0.2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5" x14ac:dyDescent="0.2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5" x14ac:dyDescent="0.2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5" x14ac:dyDescent="0.2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5" x14ac:dyDescent="0.2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5" x14ac:dyDescent="0.2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5" x14ac:dyDescent="0.2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5" x14ac:dyDescent="0.2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5" x14ac:dyDescent="0.2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5" x14ac:dyDescent="0.2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5" x14ac:dyDescent="0.2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5" x14ac:dyDescent="0.2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5" x14ac:dyDescent="0.2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5" x14ac:dyDescent="0.2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5" x14ac:dyDescent="0.2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5" x14ac:dyDescent="0.2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5" x14ac:dyDescent="0.2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5" x14ac:dyDescent="0.2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5" x14ac:dyDescent="0.2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5" x14ac:dyDescent="0.2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5" x14ac:dyDescent="0.2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5" x14ac:dyDescent="0.2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5" x14ac:dyDescent="0.2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5" x14ac:dyDescent="0.2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5" x14ac:dyDescent="0.2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5" x14ac:dyDescent="0.2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5" x14ac:dyDescent="0.2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5" x14ac:dyDescent="0.2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5" x14ac:dyDescent="0.2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5" x14ac:dyDescent="0.2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5" x14ac:dyDescent="0.2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5" x14ac:dyDescent="0.2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5" x14ac:dyDescent="0.2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5" x14ac:dyDescent="0.2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5" x14ac:dyDescent="0.2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5" x14ac:dyDescent="0.2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5" x14ac:dyDescent="0.2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5" x14ac:dyDescent="0.2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5" x14ac:dyDescent="0.2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5" x14ac:dyDescent="0.2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5" x14ac:dyDescent="0.2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5" x14ac:dyDescent="0.2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5" x14ac:dyDescent="0.2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5" x14ac:dyDescent="0.2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5" x14ac:dyDescent="0.2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5" x14ac:dyDescent="0.2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5" x14ac:dyDescent="0.2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5" x14ac:dyDescent="0.2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5" x14ac:dyDescent="0.2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5" x14ac:dyDescent="0.2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5" x14ac:dyDescent="0.2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5" x14ac:dyDescent="0.2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5" x14ac:dyDescent="0.2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5" x14ac:dyDescent="0.2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5" x14ac:dyDescent="0.2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5" x14ac:dyDescent="0.2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5" x14ac:dyDescent="0.2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5" x14ac:dyDescent="0.2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5" x14ac:dyDescent="0.2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5" x14ac:dyDescent="0.2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5" x14ac:dyDescent="0.2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5" x14ac:dyDescent="0.2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5" x14ac:dyDescent="0.2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5" x14ac:dyDescent="0.2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5" x14ac:dyDescent="0.2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5" x14ac:dyDescent="0.2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5" x14ac:dyDescent="0.2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5" x14ac:dyDescent="0.2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5" x14ac:dyDescent="0.2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5" x14ac:dyDescent="0.2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5" x14ac:dyDescent="0.2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5" x14ac:dyDescent="0.2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5" x14ac:dyDescent="0.2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5" x14ac:dyDescent="0.2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5" x14ac:dyDescent="0.2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5" x14ac:dyDescent="0.2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5" x14ac:dyDescent="0.2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5" x14ac:dyDescent="0.2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5" x14ac:dyDescent="0.2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5" x14ac:dyDescent="0.2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5" x14ac:dyDescent="0.2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5" x14ac:dyDescent="0.2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5" x14ac:dyDescent="0.2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5" x14ac:dyDescent="0.2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5" x14ac:dyDescent="0.2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5" x14ac:dyDescent="0.2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5" x14ac:dyDescent="0.2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75" thickBot="1" x14ac:dyDescent="0.3">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75" thickBot="1" x14ac:dyDescent="0.3">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5" x14ac:dyDescent="0.25"/>
    <row r="260" spans="2:42" ht="15" x14ac:dyDescent="0.25"/>
    <row r="261" spans="2:42" ht="15" x14ac:dyDescent="0.25"/>
    <row r="262" spans="2:42" ht="15" x14ac:dyDescent="0.25"/>
    <row r="263" spans="2:42" ht="15" x14ac:dyDescent="0.25"/>
    <row r="264" spans="2:42" ht="15" x14ac:dyDescent="0.25"/>
    <row r="265" spans="2:42" ht="15" x14ac:dyDescent="0.25"/>
    <row r="266" spans="2:42" ht="15" x14ac:dyDescent="0.25"/>
    <row r="267" spans="2:42" ht="15" hidden="1" customHeight="1" x14ac:dyDescent="0.25"/>
    <row r="268" spans="2:42" ht="15" hidden="1" customHeight="1" x14ac:dyDescent="0.25"/>
    <row r="269" spans="2:42" ht="15" hidden="1" customHeight="1" x14ac:dyDescent="0.25"/>
    <row r="270" spans="2:42" ht="15" hidden="1" customHeight="1" x14ac:dyDescent="0.25"/>
    <row r="271" spans="2:42" ht="15" hidden="1" customHeight="1" x14ac:dyDescent="0.25"/>
    <row r="272" spans="2:4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3">
      <c r="B1" s="31"/>
      <c r="C1" s="31"/>
    </row>
    <row r="2" spans="2:42" ht="19.5" customHeight="1" thickBot="1" x14ac:dyDescent="0.3">
      <c r="B2" s="986" t="str">
        <f>IF([2]Start!F12="","",[2]Start!F12)</f>
        <v/>
      </c>
      <c r="C2" s="987"/>
      <c r="D2" s="988"/>
    </row>
    <row r="3" spans="2:42" ht="15" customHeight="1" x14ac:dyDescent="0.25">
      <c r="B3" s="1015" t="str">
        <f ca="1">MID(CELL("filename",A1),FIND("]",CELL("filename",A1))+1,256)</f>
        <v>C-1 Site River Baseline</v>
      </c>
      <c r="C3" s="1016"/>
      <c r="D3" s="1017"/>
    </row>
    <row r="4" spans="2:42" ht="19.899999999999999" customHeight="1" thickBot="1" x14ac:dyDescent="0.3">
      <c r="B4" s="943"/>
      <c r="C4" s="944"/>
      <c r="D4" s="945"/>
    </row>
    <row r="5" spans="2:42" ht="19.149999999999999" customHeight="1" x14ac:dyDescent="0.25">
      <c r="B5" s="31"/>
      <c r="C5" s="31"/>
      <c r="F5" s="131"/>
      <c r="T5" s="1018" t="str">
        <f>IF(SUM(AG10:AG257)&gt;0,"Check Lengths ⚠","")</f>
        <v/>
      </c>
      <c r="U5" s="1018"/>
      <c r="V5" s="1018"/>
      <c r="W5" s="1018"/>
      <c r="X5" s="1018"/>
      <c r="Y5" s="1018"/>
    </row>
    <row r="6" spans="2:42" ht="15.75" customHeight="1" x14ac:dyDescent="0.25">
      <c r="B6" s="31"/>
      <c r="C6" s="31"/>
      <c r="T6" s="1018"/>
      <c r="U6" s="1018"/>
      <c r="V6" s="1018"/>
      <c r="W6" s="1018"/>
      <c r="X6" s="1018"/>
      <c r="Y6" s="1018"/>
    </row>
    <row r="7" spans="2:42" ht="46.15" customHeight="1" thickBot="1" x14ac:dyDescent="0.3"/>
    <row r="8" spans="2:42" ht="29.25" thickBot="1" x14ac:dyDescent="0.3">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43.5" thickBot="1" x14ac:dyDescent="0.3">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5" x14ac:dyDescent="0.25">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5" x14ac:dyDescent="0.25">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5" x14ac:dyDescent="0.25">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5" x14ac:dyDescent="0.25">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5" x14ac:dyDescent="0.2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5" x14ac:dyDescent="0.25">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5">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5" x14ac:dyDescent="0.25">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5" x14ac:dyDescent="0.25">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5">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5" x14ac:dyDescent="0.25">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5" x14ac:dyDescent="0.25">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5" x14ac:dyDescent="0.25">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5" x14ac:dyDescent="0.25">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5" x14ac:dyDescent="0.2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5" x14ac:dyDescent="0.2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5" x14ac:dyDescent="0.2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5" x14ac:dyDescent="0.2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5" x14ac:dyDescent="0.2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5" x14ac:dyDescent="0.2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5" x14ac:dyDescent="0.2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5" x14ac:dyDescent="0.2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5" x14ac:dyDescent="0.2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5" x14ac:dyDescent="0.2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5" x14ac:dyDescent="0.2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5" x14ac:dyDescent="0.2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5" x14ac:dyDescent="0.2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5" x14ac:dyDescent="0.2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5" x14ac:dyDescent="0.2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5" x14ac:dyDescent="0.2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5" x14ac:dyDescent="0.2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5" x14ac:dyDescent="0.2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5" x14ac:dyDescent="0.2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5" x14ac:dyDescent="0.2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5" x14ac:dyDescent="0.2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5" x14ac:dyDescent="0.2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5" x14ac:dyDescent="0.2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5" x14ac:dyDescent="0.2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5" x14ac:dyDescent="0.2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5" x14ac:dyDescent="0.2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5" x14ac:dyDescent="0.2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5" x14ac:dyDescent="0.2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5" x14ac:dyDescent="0.2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5" x14ac:dyDescent="0.2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5" x14ac:dyDescent="0.2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5" x14ac:dyDescent="0.2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5" x14ac:dyDescent="0.2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5" x14ac:dyDescent="0.2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5" x14ac:dyDescent="0.2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5" x14ac:dyDescent="0.2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5" x14ac:dyDescent="0.2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5" x14ac:dyDescent="0.2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5" x14ac:dyDescent="0.2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5" x14ac:dyDescent="0.2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5" x14ac:dyDescent="0.2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5" x14ac:dyDescent="0.2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5" x14ac:dyDescent="0.2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5" x14ac:dyDescent="0.2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5" x14ac:dyDescent="0.2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5" x14ac:dyDescent="0.2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5" x14ac:dyDescent="0.2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5" x14ac:dyDescent="0.2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5" x14ac:dyDescent="0.2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5" x14ac:dyDescent="0.2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5" x14ac:dyDescent="0.2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5" x14ac:dyDescent="0.2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5" x14ac:dyDescent="0.2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5" x14ac:dyDescent="0.2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5" x14ac:dyDescent="0.2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5" x14ac:dyDescent="0.2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5" x14ac:dyDescent="0.2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5" x14ac:dyDescent="0.2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5" x14ac:dyDescent="0.2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5" x14ac:dyDescent="0.2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5" x14ac:dyDescent="0.2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5" x14ac:dyDescent="0.2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5" x14ac:dyDescent="0.2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5" x14ac:dyDescent="0.2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5" x14ac:dyDescent="0.2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5" x14ac:dyDescent="0.2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5" x14ac:dyDescent="0.2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5" x14ac:dyDescent="0.2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5" x14ac:dyDescent="0.2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5" x14ac:dyDescent="0.2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5" x14ac:dyDescent="0.2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5" x14ac:dyDescent="0.2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5" x14ac:dyDescent="0.2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5" x14ac:dyDescent="0.2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5" x14ac:dyDescent="0.2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5" x14ac:dyDescent="0.2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5" x14ac:dyDescent="0.2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5" x14ac:dyDescent="0.2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5" x14ac:dyDescent="0.2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5" x14ac:dyDescent="0.2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5" x14ac:dyDescent="0.2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5" x14ac:dyDescent="0.2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5" x14ac:dyDescent="0.2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5" x14ac:dyDescent="0.2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5" x14ac:dyDescent="0.2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5" x14ac:dyDescent="0.2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5" x14ac:dyDescent="0.2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5" x14ac:dyDescent="0.2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5" x14ac:dyDescent="0.2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5" x14ac:dyDescent="0.2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5" x14ac:dyDescent="0.2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5" x14ac:dyDescent="0.2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5" x14ac:dyDescent="0.2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5" x14ac:dyDescent="0.2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5" x14ac:dyDescent="0.2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5" x14ac:dyDescent="0.2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5" x14ac:dyDescent="0.2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5" x14ac:dyDescent="0.2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5" x14ac:dyDescent="0.2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5" x14ac:dyDescent="0.2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5" x14ac:dyDescent="0.2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5" x14ac:dyDescent="0.2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5" x14ac:dyDescent="0.2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5" x14ac:dyDescent="0.2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5" x14ac:dyDescent="0.2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5" x14ac:dyDescent="0.2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5" x14ac:dyDescent="0.2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5" x14ac:dyDescent="0.2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5" x14ac:dyDescent="0.2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5" x14ac:dyDescent="0.2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5" x14ac:dyDescent="0.2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5" x14ac:dyDescent="0.2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5" x14ac:dyDescent="0.2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5" x14ac:dyDescent="0.2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5" x14ac:dyDescent="0.2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5" x14ac:dyDescent="0.2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5" x14ac:dyDescent="0.2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5" x14ac:dyDescent="0.2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5" x14ac:dyDescent="0.2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5" x14ac:dyDescent="0.2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5" x14ac:dyDescent="0.2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5" x14ac:dyDescent="0.2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5" x14ac:dyDescent="0.2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5" x14ac:dyDescent="0.2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5" x14ac:dyDescent="0.2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5" x14ac:dyDescent="0.2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5" x14ac:dyDescent="0.2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5" x14ac:dyDescent="0.2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5" x14ac:dyDescent="0.2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5" x14ac:dyDescent="0.2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5" x14ac:dyDescent="0.2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5" x14ac:dyDescent="0.2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5" x14ac:dyDescent="0.2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5" x14ac:dyDescent="0.2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5" x14ac:dyDescent="0.2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5" x14ac:dyDescent="0.2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5" x14ac:dyDescent="0.2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5" x14ac:dyDescent="0.2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5" x14ac:dyDescent="0.2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5" x14ac:dyDescent="0.2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5" x14ac:dyDescent="0.2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5" x14ac:dyDescent="0.2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5" x14ac:dyDescent="0.2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5" x14ac:dyDescent="0.2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5" x14ac:dyDescent="0.2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5" x14ac:dyDescent="0.2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5" x14ac:dyDescent="0.2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5" x14ac:dyDescent="0.2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5" x14ac:dyDescent="0.2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5" x14ac:dyDescent="0.2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5" x14ac:dyDescent="0.2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5" x14ac:dyDescent="0.2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5" x14ac:dyDescent="0.2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5" x14ac:dyDescent="0.2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5" x14ac:dyDescent="0.2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5" x14ac:dyDescent="0.2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5" x14ac:dyDescent="0.2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5" x14ac:dyDescent="0.2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5" x14ac:dyDescent="0.2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5" x14ac:dyDescent="0.2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5" x14ac:dyDescent="0.2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5" x14ac:dyDescent="0.2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5" x14ac:dyDescent="0.2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5" x14ac:dyDescent="0.2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5" x14ac:dyDescent="0.2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5" x14ac:dyDescent="0.2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5" x14ac:dyDescent="0.2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5" x14ac:dyDescent="0.2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5" x14ac:dyDescent="0.2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5" x14ac:dyDescent="0.2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5" x14ac:dyDescent="0.2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5" x14ac:dyDescent="0.2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5" x14ac:dyDescent="0.2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5" x14ac:dyDescent="0.2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5" x14ac:dyDescent="0.2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5" x14ac:dyDescent="0.2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5" x14ac:dyDescent="0.2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5" x14ac:dyDescent="0.2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5" x14ac:dyDescent="0.2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5" x14ac:dyDescent="0.2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5" x14ac:dyDescent="0.2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5" x14ac:dyDescent="0.2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5" x14ac:dyDescent="0.2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5" x14ac:dyDescent="0.2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5" x14ac:dyDescent="0.2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5" x14ac:dyDescent="0.2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5" x14ac:dyDescent="0.2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5" x14ac:dyDescent="0.2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5" x14ac:dyDescent="0.2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5" x14ac:dyDescent="0.2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5" x14ac:dyDescent="0.2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5" x14ac:dyDescent="0.2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5" x14ac:dyDescent="0.2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5" x14ac:dyDescent="0.2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5" x14ac:dyDescent="0.2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5" x14ac:dyDescent="0.2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5" x14ac:dyDescent="0.2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5" x14ac:dyDescent="0.2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5" x14ac:dyDescent="0.2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5" x14ac:dyDescent="0.2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5" x14ac:dyDescent="0.2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5" x14ac:dyDescent="0.2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5" x14ac:dyDescent="0.2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5" x14ac:dyDescent="0.2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5" x14ac:dyDescent="0.2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5" x14ac:dyDescent="0.2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5" x14ac:dyDescent="0.2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5" x14ac:dyDescent="0.2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5" x14ac:dyDescent="0.2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5" x14ac:dyDescent="0.2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5" x14ac:dyDescent="0.2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5" x14ac:dyDescent="0.2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5" x14ac:dyDescent="0.2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5" x14ac:dyDescent="0.2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5" x14ac:dyDescent="0.2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5" x14ac:dyDescent="0.2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5" x14ac:dyDescent="0.2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5" x14ac:dyDescent="0.2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5" x14ac:dyDescent="0.2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5" x14ac:dyDescent="0.2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5" x14ac:dyDescent="0.2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5" x14ac:dyDescent="0.2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5" x14ac:dyDescent="0.2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5" x14ac:dyDescent="0.2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5" x14ac:dyDescent="0.2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5" x14ac:dyDescent="0.2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5" x14ac:dyDescent="0.2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5" x14ac:dyDescent="0.2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5" x14ac:dyDescent="0.2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5" x14ac:dyDescent="0.2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5" x14ac:dyDescent="0.2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5" x14ac:dyDescent="0.2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5">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3">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3">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5" x14ac:dyDescent="0.25">
      <c r="B259" s="31"/>
      <c r="C259" s="31"/>
      <c r="S259" s="166"/>
      <c r="T259" s="166"/>
      <c r="U259" s="166"/>
      <c r="V259" s="166"/>
      <c r="W259" s="166"/>
      <c r="X259" s="166"/>
      <c r="Y259" s="166"/>
    </row>
    <row r="260" spans="2:42" ht="15" x14ac:dyDescent="0.25"/>
    <row r="261" spans="2:42" ht="15" x14ac:dyDescent="0.25"/>
    <row r="262" spans="2:42" ht="15" x14ac:dyDescent="0.25"/>
    <row r="263" spans="2:42" ht="15" x14ac:dyDescent="0.25"/>
    <row r="264" spans="2:42" ht="15" x14ac:dyDescent="0.25"/>
    <row r="265" spans="2:42" ht="15" x14ac:dyDescent="0.25"/>
    <row r="266" spans="2:42" ht="15" x14ac:dyDescent="0.25"/>
    <row r="267" spans="2:42" ht="15" x14ac:dyDescent="0.25"/>
    <row r="268" spans="2:42" ht="15" x14ac:dyDescent="0.25"/>
    <row r="269" spans="2:42" ht="15" x14ac:dyDescent="0.25"/>
    <row r="270" spans="2:42" ht="15" x14ac:dyDescent="0.25"/>
    <row r="271" spans="2:42" ht="15" x14ac:dyDescent="0.25"/>
    <row r="272" spans="2:42" ht="15" x14ac:dyDescent="0.2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75" hidden="1" thickBot="1" x14ac:dyDescent="0.3"/>
    <row r="2" spans="2:34" ht="24.6" customHeight="1" thickBot="1" x14ac:dyDescent="0.3">
      <c r="B2" s="986" t="str">
        <f>IF([2]Start!F12="","",[2]Start!F12)</f>
        <v/>
      </c>
      <c r="C2" s="987"/>
      <c r="D2" s="987"/>
      <c r="E2" s="988"/>
    </row>
    <row r="3" spans="2:34" ht="15.6" customHeight="1" thickBot="1" x14ac:dyDescent="0.3">
      <c r="B3" s="1019" t="str">
        <f ca="1">MID(CELL("filename",A1),FIND("]",CELL("filename",A1))+1,256)</f>
        <v>C-2 Site River Creation</v>
      </c>
      <c r="C3" s="1020"/>
      <c r="D3" s="1020"/>
      <c r="E3" s="1021"/>
      <c r="L3" s="908" t="str">
        <f>IF(OR(COUNTIF(L$12:$L260,"*30+*")&gt;0,COUNTIF(P$12:$P260,"*30+*")&gt;0),"Note; Habitat selected has a time to target condition greater than 30 years. Non standard agreement may be required. ⚠","")</f>
        <v/>
      </c>
      <c r="M3" s="908"/>
      <c r="N3" s="908"/>
      <c r="O3" s="908"/>
      <c r="P3" s="908"/>
      <c r="Q3" s="908"/>
    </row>
    <row r="4" spans="2:34" ht="15" customHeight="1" thickBot="1" x14ac:dyDescent="0.3">
      <c r="B4" s="1019"/>
      <c r="C4" s="1020"/>
      <c r="D4" s="1020"/>
      <c r="E4" s="1021"/>
      <c r="L4" s="908"/>
      <c r="M4" s="908"/>
      <c r="N4" s="908"/>
      <c r="O4" s="908"/>
      <c r="P4" s="908"/>
      <c r="Q4" s="908"/>
    </row>
    <row r="5" spans="2:34" ht="26.45" customHeight="1" x14ac:dyDescent="0.25">
      <c r="L5" s="908"/>
      <c r="M5" s="908"/>
      <c r="N5" s="908"/>
      <c r="O5" s="908"/>
      <c r="P5" s="908"/>
      <c r="Q5" s="908"/>
    </row>
    <row r="6" spans="2:34" ht="23.25" customHeight="1" x14ac:dyDescent="0.25">
      <c r="L6" s="402"/>
      <c r="M6" s="402"/>
      <c r="N6" s="402"/>
      <c r="O6" s="402"/>
      <c r="P6" s="402"/>
    </row>
    <row r="7" spans="2:34" ht="6" customHeight="1" x14ac:dyDescent="0.25">
      <c r="L7" s="402"/>
      <c r="M7" s="402"/>
      <c r="N7" s="402"/>
      <c r="O7" s="402"/>
      <c r="P7" s="402"/>
    </row>
    <row r="8" spans="2:34" ht="6" customHeight="1" x14ac:dyDescent="0.25"/>
    <row r="9" spans="2:34" ht="15.75" customHeight="1" thickBot="1" x14ac:dyDescent="0.3"/>
    <row r="10" spans="2:34" s="42" customFormat="1" ht="29.25" customHeight="1" thickBot="1" x14ac:dyDescent="0.3">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57" x14ac:dyDescent="0.25">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5.95" customHeight="1" x14ac:dyDescent="0.25">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5" x14ac:dyDescent="0.2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5" x14ac:dyDescent="0.2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5" x14ac:dyDescent="0.2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5" x14ac:dyDescent="0.2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5" x14ac:dyDescent="0.2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5" x14ac:dyDescent="0.2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5" x14ac:dyDescent="0.2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5" x14ac:dyDescent="0.2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5" x14ac:dyDescent="0.2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5" x14ac:dyDescent="0.2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5" x14ac:dyDescent="0.2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5" x14ac:dyDescent="0.2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5" x14ac:dyDescent="0.2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5" x14ac:dyDescent="0.2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5" x14ac:dyDescent="0.2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5" x14ac:dyDescent="0.2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5" x14ac:dyDescent="0.2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5" x14ac:dyDescent="0.2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5" x14ac:dyDescent="0.2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5" x14ac:dyDescent="0.2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5" x14ac:dyDescent="0.2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5" x14ac:dyDescent="0.2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5" x14ac:dyDescent="0.2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5" x14ac:dyDescent="0.2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5" x14ac:dyDescent="0.2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5" x14ac:dyDescent="0.2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5" x14ac:dyDescent="0.2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5" x14ac:dyDescent="0.2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5" x14ac:dyDescent="0.2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5" x14ac:dyDescent="0.2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5" x14ac:dyDescent="0.2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5" x14ac:dyDescent="0.2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5" x14ac:dyDescent="0.2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5" x14ac:dyDescent="0.2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5" x14ac:dyDescent="0.2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5" x14ac:dyDescent="0.2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5" x14ac:dyDescent="0.2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5" x14ac:dyDescent="0.2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5" x14ac:dyDescent="0.2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5" x14ac:dyDescent="0.2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5" x14ac:dyDescent="0.2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5" x14ac:dyDescent="0.2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5" x14ac:dyDescent="0.2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5" x14ac:dyDescent="0.2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5" x14ac:dyDescent="0.2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5" x14ac:dyDescent="0.2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5" x14ac:dyDescent="0.2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5" x14ac:dyDescent="0.2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5" x14ac:dyDescent="0.2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5" x14ac:dyDescent="0.2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5" x14ac:dyDescent="0.2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5" x14ac:dyDescent="0.2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5" x14ac:dyDescent="0.2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5" x14ac:dyDescent="0.2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5" x14ac:dyDescent="0.2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5" x14ac:dyDescent="0.2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5" x14ac:dyDescent="0.2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5" x14ac:dyDescent="0.2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5" x14ac:dyDescent="0.2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5" x14ac:dyDescent="0.2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5" x14ac:dyDescent="0.2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5" x14ac:dyDescent="0.2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5" x14ac:dyDescent="0.2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5" x14ac:dyDescent="0.2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5" x14ac:dyDescent="0.2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5" x14ac:dyDescent="0.2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5" x14ac:dyDescent="0.2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5" x14ac:dyDescent="0.2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5" x14ac:dyDescent="0.2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5" x14ac:dyDescent="0.2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5" x14ac:dyDescent="0.2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5" x14ac:dyDescent="0.2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5" x14ac:dyDescent="0.2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5" x14ac:dyDescent="0.2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5" x14ac:dyDescent="0.2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5" x14ac:dyDescent="0.2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5" x14ac:dyDescent="0.2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5" x14ac:dyDescent="0.2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5" x14ac:dyDescent="0.2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5" x14ac:dyDescent="0.2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5" x14ac:dyDescent="0.2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5" x14ac:dyDescent="0.2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5" x14ac:dyDescent="0.2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5" x14ac:dyDescent="0.2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5" x14ac:dyDescent="0.2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5" x14ac:dyDescent="0.2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5" x14ac:dyDescent="0.2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5" x14ac:dyDescent="0.2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5" x14ac:dyDescent="0.2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5" x14ac:dyDescent="0.2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5" x14ac:dyDescent="0.2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5" x14ac:dyDescent="0.2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5" x14ac:dyDescent="0.2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5" x14ac:dyDescent="0.2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5" x14ac:dyDescent="0.2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5" x14ac:dyDescent="0.2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5" x14ac:dyDescent="0.2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5" x14ac:dyDescent="0.2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5" x14ac:dyDescent="0.2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5" x14ac:dyDescent="0.2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5" x14ac:dyDescent="0.2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5" x14ac:dyDescent="0.2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5" x14ac:dyDescent="0.2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5" x14ac:dyDescent="0.2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5" x14ac:dyDescent="0.2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5" x14ac:dyDescent="0.2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5" x14ac:dyDescent="0.2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5" x14ac:dyDescent="0.2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5" x14ac:dyDescent="0.2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5" x14ac:dyDescent="0.2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5" x14ac:dyDescent="0.2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5" x14ac:dyDescent="0.2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5" x14ac:dyDescent="0.2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5" x14ac:dyDescent="0.2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5" x14ac:dyDescent="0.2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5" x14ac:dyDescent="0.2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5" x14ac:dyDescent="0.2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5" x14ac:dyDescent="0.2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5" x14ac:dyDescent="0.2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5" x14ac:dyDescent="0.2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5" x14ac:dyDescent="0.2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5" x14ac:dyDescent="0.2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5" x14ac:dyDescent="0.2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5" x14ac:dyDescent="0.2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5" x14ac:dyDescent="0.2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5" x14ac:dyDescent="0.2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5" x14ac:dyDescent="0.2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5" x14ac:dyDescent="0.2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5" x14ac:dyDescent="0.2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5" x14ac:dyDescent="0.2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5" x14ac:dyDescent="0.2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5" x14ac:dyDescent="0.2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5" x14ac:dyDescent="0.2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5" x14ac:dyDescent="0.2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5" x14ac:dyDescent="0.2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5" x14ac:dyDescent="0.2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5" x14ac:dyDescent="0.2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5" x14ac:dyDescent="0.2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5" x14ac:dyDescent="0.2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5" x14ac:dyDescent="0.2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5" x14ac:dyDescent="0.2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5" x14ac:dyDescent="0.2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5" x14ac:dyDescent="0.2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5" x14ac:dyDescent="0.2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5" x14ac:dyDescent="0.2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5" x14ac:dyDescent="0.2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5" x14ac:dyDescent="0.2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5" x14ac:dyDescent="0.2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5" x14ac:dyDescent="0.2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5" x14ac:dyDescent="0.2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5" x14ac:dyDescent="0.2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5" x14ac:dyDescent="0.2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5" x14ac:dyDescent="0.2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5" x14ac:dyDescent="0.2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5" x14ac:dyDescent="0.2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5" x14ac:dyDescent="0.2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5" x14ac:dyDescent="0.2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5" x14ac:dyDescent="0.2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5" x14ac:dyDescent="0.2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5" x14ac:dyDescent="0.2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5" x14ac:dyDescent="0.2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5" x14ac:dyDescent="0.2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5" x14ac:dyDescent="0.2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5" x14ac:dyDescent="0.2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5" x14ac:dyDescent="0.2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5" x14ac:dyDescent="0.2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5" x14ac:dyDescent="0.2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5" x14ac:dyDescent="0.2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5" x14ac:dyDescent="0.2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5" x14ac:dyDescent="0.2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5" x14ac:dyDescent="0.2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5" x14ac:dyDescent="0.2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5" x14ac:dyDescent="0.2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5" x14ac:dyDescent="0.2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5" x14ac:dyDescent="0.2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5" x14ac:dyDescent="0.2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5" x14ac:dyDescent="0.2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5" x14ac:dyDescent="0.2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5" x14ac:dyDescent="0.2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5" x14ac:dyDescent="0.2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5" x14ac:dyDescent="0.2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5" x14ac:dyDescent="0.2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5" x14ac:dyDescent="0.2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5" x14ac:dyDescent="0.2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5" x14ac:dyDescent="0.2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5" x14ac:dyDescent="0.2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5" x14ac:dyDescent="0.2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5" x14ac:dyDescent="0.2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5" x14ac:dyDescent="0.2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5" x14ac:dyDescent="0.2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5" x14ac:dyDescent="0.2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5" x14ac:dyDescent="0.2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5" x14ac:dyDescent="0.2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5" x14ac:dyDescent="0.2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5" x14ac:dyDescent="0.2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5" x14ac:dyDescent="0.2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5" x14ac:dyDescent="0.2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5" x14ac:dyDescent="0.2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5" x14ac:dyDescent="0.2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5" x14ac:dyDescent="0.2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5" x14ac:dyDescent="0.2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5" x14ac:dyDescent="0.2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5" x14ac:dyDescent="0.2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5" x14ac:dyDescent="0.2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5" x14ac:dyDescent="0.2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5" x14ac:dyDescent="0.2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5" x14ac:dyDescent="0.2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5" x14ac:dyDescent="0.2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5" x14ac:dyDescent="0.2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5" x14ac:dyDescent="0.2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5" x14ac:dyDescent="0.2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5" x14ac:dyDescent="0.2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5" x14ac:dyDescent="0.2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5" x14ac:dyDescent="0.2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5" x14ac:dyDescent="0.2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5" x14ac:dyDescent="0.2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5" x14ac:dyDescent="0.2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5" x14ac:dyDescent="0.2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5" x14ac:dyDescent="0.2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5" x14ac:dyDescent="0.2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5" x14ac:dyDescent="0.2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5" x14ac:dyDescent="0.2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5" x14ac:dyDescent="0.2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5" x14ac:dyDescent="0.2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5" x14ac:dyDescent="0.2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5" x14ac:dyDescent="0.2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5" x14ac:dyDescent="0.2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5" x14ac:dyDescent="0.2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5" x14ac:dyDescent="0.2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5" x14ac:dyDescent="0.2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5" x14ac:dyDescent="0.2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5" x14ac:dyDescent="0.2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5" x14ac:dyDescent="0.2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5" x14ac:dyDescent="0.2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5" x14ac:dyDescent="0.2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5" x14ac:dyDescent="0.2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5" x14ac:dyDescent="0.2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5" x14ac:dyDescent="0.2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5" x14ac:dyDescent="0.2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5" x14ac:dyDescent="0.2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5" x14ac:dyDescent="0.2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5" x14ac:dyDescent="0.2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5" x14ac:dyDescent="0.2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5" x14ac:dyDescent="0.2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5" x14ac:dyDescent="0.2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5" x14ac:dyDescent="0.2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75" thickBot="1" x14ac:dyDescent="0.3">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75"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x14ac:dyDescent="0.25"/>
    <row r="262" spans="2:34" ht="27" customHeight="1" x14ac:dyDescent="0.25"/>
    <row r="263" spans="2:34" ht="15" hidden="1" x14ac:dyDescent="0.25"/>
    <row r="264" spans="2:34" ht="15" hidden="1" x14ac:dyDescent="0.25"/>
    <row r="265" spans="2:34" ht="15" hidden="1" x14ac:dyDescent="0.25"/>
    <row r="266" spans="2:34" ht="15" hidden="1" x14ac:dyDescent="0.25"/>
    <row r="267" spans="2:34" ht="15" hidden="1" x14ac:dyDescent="0.25"/>
    <row r="268" spans="2:34" ht="15" hidden="1" x14ac:dyDescent="0.25"/>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3"/>
    <row r="2" spans="2:48" ht="27" customHeight="1" thickBot="1" x14ac:dyDescent="0.3">
      <c r="B2" s="986" t="str">
        <f>IF([2]Start!F12="","",[2]Start!F12)</f>
        <v/>
      </c>
      <c r="C2" s="987"/>
      <c r="D2" s="987"/>
      <c r="E2" s="988"/>
      <c r="R2" s="132"/>
      <c r="Y2" s="908" t="str">
        <f>IF(OR(COUNTIF($Y$12:Y259,"*30+*")&gt;0,COUNTIF($AC$12:AC259,"*30+*")&gt;0),"Note; Habitat selected has a time to target condition greater than 30 years. Non standard agreement may be required. ⚠","")</f>
        <v/>
      </c>
      <c r="Z2" s="908"/>
      <c r="AA2" s="908"/>
      <c r="AB2" s="908"/>
      <c r="AC2" s="908"/>
      <c r="AD2" s="908"/>
    </row>
    <row r="3" spans="2:48" ht="18" customHeight="1" thickBot="1" x14ac:dyDescent="0.3">
      <c r="B3" s="1019" t="str">
        <f ca="1">MID(CELL("filename",A1),FIND("]",CELL("filename",A1))+1,256)</f>
        <v>C-3 Site River Enhancement</v>
      </c>
      <c r="C3" s="1020"/>
      <c r="D3" s="1020"/>
      <c r="E3" s="1021"/>
      <c r="Y3" s="908"/>
      <c r="Z3" s="908"/>
      <c r="AA3" s="908"/>
      <c r="AB3" s="908"/>
      <c r="AC3" s="908"/>
      <c r="AD3" s="908"/>
    </row>
    <row r="4" spans="2:48" ht="21" customHeight="1" thickBot="1" x14ac:dyDescent="0.3">
      <c r="B4" s="1019"/>
      <c r="C4" s="1020"/>
      <c r="D4" s="1020"/>
      <c r="E4" s="1021"/>
      <c r="Y4" s="908"/>
      <c r="Z4" s="908"/>
      <c r="AA4" s="908"/>
      <c r="AB4" s="908"/>
      <c r="AC4" s="908"/>
      <c r="AD4" s="908"/>
    </row>
    <row r="5" spans="2:48" ht="15.6" customHeight="1" x14ac:dyDescent="0.25">
      <c r="AH5" s="193"/>
      <c r="AI5" s="193"/>
      <c r="AJ5" s="193"/>
      <c r="AK5" s="193"/>
      <c r="AL5" s="193"/>
    </row>
    <row r="6" spans="2:48" ht="16.149999999999999" customHeight="1" x14ac:dyDescent="0.25">
      <c r="F6" s="131"/>
    </row>
    <row r="7" spans="2:48" ht="15" x14ac:dyDescent="0.25"/>
    <row r="8" spans="2:48" ht="15.75" thickBot="1" x14ac:dyDescent="0.3"/>
    <row r="9" spans="2:48" ht="15.75" thickBot="1" x14ac:dyDescent="0.3">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3">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x14ac:dyDescent="0.25">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5" x14ac:dyDescent="0.25">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5" x14ac:dyDescent="0.25">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5" x14ac:dyDescent="0.25">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5" x14ac:dyDescent="0.25">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5" x14ac:dyDescent="0.25">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5" x14ac:dyDescent="0.25">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5" x14ac:dyDescent="0.25">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5" x14ac:dyDescent="0.25">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5" x14ac:dyDescent="0.25">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5" x14ac:dyDescent="0.25">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5" x14ac:dyDescent="0.25">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5" x14ac:dyDescent="0.25">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5" x14ac:dyDescent="0.25">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5" x14ac:dyDescent="0.25">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5" x14ac:dyDescent="0.2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5" x14ac:dyDescent="0.2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5" x14ac:dyDescent="0.2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5" x14ac:dyDescent="0.2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5" x14ac:dyDescent="0.2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5" x14ac:dyDescent="0.2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5" x14ac:dyDescent="0.2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5" x14ac:dyDescent="0.2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5" x14ac:dyDescent="0.2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5" x14ac:dyDescent="0.2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5" x14ac:dyDescent="0.2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5" x14ac:dyDescent="0.2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5" x14ac:dyDescent="0.2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5" x14ac:dyDescent="0.2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5" x14ac:dyDescent="0.2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5" x14ac:dyDescent="0.2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5" x14ac:dyDescent="0.2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5" x14ac:dyDescent="0.2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5" x14ac:dyDescent="0.2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5" x14ac:dyDescent="0.2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5" x14ac:dyDescent="0.2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5" x14ac:dyDescent="0.2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5" x14ac:dyDescent="0.2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5" x14ac:dyDescent="0.2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5" x14ac:dyDescent="0.2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5" x14ac:dyDescent="0.2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5" x14ac:dyDescent="0.2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5" x14ac:dyDescent="0.2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5" x14ac:dyDescent="0.2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5" x14ac:dyDescent="0.2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5" x14ac:dyDescent="0.2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5" x14ac:dyDescent="0.2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5" x14ac:dyDescent="0.2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5" x14ac:dyDescent="0.2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5" x14ac:dyDescent="0.2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5" x14ac:dyDescent="0.2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5" x14ac:dyDescent="0.2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5" x14ac:dyDescent="0.2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5" x14ac:dyDescent="0.2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5" x14ac:dyDescent="0.2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5" x14ac:dyDescent="0.2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5" x14ac:dyDescent="0.2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5" x14ac:dyDescent="0.2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5" x14ac:dyDescent="0.2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5" x14ac:dyDescent="0.2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5" x14ac:dyDescent="0.2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5" x14ac:dyDescent="0.2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5" x14ac:dyDescent="0.2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5" x14ac:dyDescent="0.2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5" x14ac:dyDescent="0.2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5" x14ac:dyDescent="0.2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5" x14ac:dyDescent="0.2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5" x14ac:dyDescent="0.2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5" x14ac:dyDescent="0.2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5" x14ac:dyDescent="0.2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5" x14ac:dyDescent="0.2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5" x14ac:dyDescent="0.2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5" x14ac:dyDescent="0.2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5" x14ac:dyDescent="0.2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5" x14ac:dyDescent="0.2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5" x14ac:dyDescent="0.2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5" x14ac:dyDescent="0.2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5" x14ac:dyDescent="0.2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5" x14ac:dyDescent="0.2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5" x14ac:dyDescent="0.2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5" x14ac:dyDescent="0.2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5" x14ac:dyDescent="0.2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5" x14ac:dyDescent="0.2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5" x14ac:dyDescent="0.2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5" x14ac:dyDescent="0.2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5" x14ac:dyDescent="0.2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5" x14ac:dyDescent="0.2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5" x14ac:dyDescent="0.2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5" x14ac:dyDescent="0.2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5" x14ac:dyDescent="0.2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5" x14ac:dyDescent="0.2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5" x14ac:dyDescent="0.2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5" x14ac:dyDescent="0.2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5" x14ac:dyDescent="0.2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5" x14ac:dyDescent="0.2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5" x14ac:dyDescent="0.2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5" x14ac:dyDescent="0.2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5" x14ac:dyDescent="0.2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5" x14ac:dyDescent="0.2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5" x14ac:dyDescent="0.2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5" x14ac:dyDescent="0.2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5" x14ac:dyDescent="0.2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5" x14ac:dyDescent="0.2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5" x14ac:dyDescent="0.2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5" x14ac:dyDescent="0.2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5" x14ac:dyDescent="0.2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5" x14ac:dyDescent="0.2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5" x14ac:dyDescent="0.2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5" x14ac:dyDescent="0.2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5" x14ac:dyDescent="0.2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5" x14ac:dyDescent="0.2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5" x14ac:dyDescent="0.2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5" x14ac:dyDescent="0.2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5" x14ac:dyDescent="0.2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5" x14ac:dyDescent="0.2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5" x14ac:dyDescent="0.2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5" x14ac:dyDescent="0.2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5" x14ac:dyDescent="0.2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5" x14ac:dyDescent="0.2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5" x14ac:dyDescent="0.2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5" x14ac:dyDescent="0.2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5" x14ac:dyDescent="0.2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5" x14ac:dyDescent="0.2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5" x14ac:dyDescent="0.2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5" x14ac:dyDescent="0.2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5" x14ac:dyDescent="0.2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5" x14ac:dyDescent="0.2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5" x14ac:dyDescent="0.2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5" x14ac:dyDescent="0.2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5" x14ac:dyDescent="0.2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5" x14ac:dyDescent="0.2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5" x14ac:dyDescent="0.2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5" x14ac:dyDescent="0.2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5" x14ac:dyDescent="0.2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5" x14ac:dyDescent="0.2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5" x14ac:dyDescent="0.2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5" x14ac:dyDescent="0.2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5" x14ac:dyDescent="0.2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5" x14ac:dyDescent="0.2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5" x14ac:dyDescent="0.2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5" x14ac:dyDescent="0.2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5" x14ac:dyDescent="0.2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5" x14ac:dyDescent="0.2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5" x14ac:dyDescent="0.2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5" x14ac:dyDescent="0.2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5" x14ac:dyDescent="0.2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5" x14ac:dyDescent="0.2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5" x14ac:dyDescent="0.2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5" x14ac:dyDescent="0.2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5" x14ac:dyDescent="0.2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5" x14ac:dyDescent="0.2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5" x14ac:dyDescent="0.2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5" x14ac:dyDescent="0.2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5" x14ac:dyDescent="0.2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5" x14ac:dyDescent="0.2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5" x14ac:dyDescent="0.2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5" x14ac:dyDescent="0.2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5" x14ac:dyDescent="0.2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5" x14ac:dyDescent="0.2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5" x14ac:dyDescent="0.2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5" x14ac:dyDescent="0.2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5" x14ac:dyDescent="0.2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5" x14ac:dyDescent="0.2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5" x14ac:dyDescent="0.2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5" x14ac:dyDescent="0.2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5" x14ac:dyDescent="0.2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5" x14ac:dyDescent="0.2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5" x14ac:dyDescent="0.2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5" x14ac:dyDescent="0.2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5" x14ac:dyDescent="0.2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5" x14ac:dyDescent="0.2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5" x14ac:dyDescent="0.2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5" x14ac:dyDescent="0.2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5" x14ac:dyDescent="0.2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5" x14ac:dyDescent="0.2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5" x14ac:dyDescent="0.2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5" x14ac:dyDescent="0.2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5" x14ac:dyDescent="0.2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5" x14ac:dyDescent="0.2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5" x14ac:dyDescent="0.2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5" x14ac:dyDescent="0.2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5" x14ac:dyDescent="0.2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5" x14ac:dyDescent="0.2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5" x14ac:dyDescent="0.2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5" x14ac:dyDescent="0.2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5" x14ac:dyDescent="0.2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5" x14ac:dyDescent="0.2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5" x14ac:dyDescent="0.2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5" x14ac:dyDescent="0.2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5" x14ac:dyDescent="0.2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5" x14ac:dyDescent="0.2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5" x14ac:dyDescent="0.2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5" x14ac:dyDescent="0.2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5" x14ac:dyDescent="0.2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5" x14ac:dyDescent="0.2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5" x14ac:dyDescent="0.2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5" x14ac:dyDescent="0.2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5" x14ac:dyDescent="0.2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5" x14ac:dyDescent="0.2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5" x14ac:dyDescent="0.2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5" x14ac:dyDescent="0.2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5" x14ac:dyDescent="0.2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5" x14ac:dyDescent="0.2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5" x14ac:dyDescent="0.2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5" x14ac:dyDescent="0.2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5" x14ac:dyDescent="0.2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5" x14ac:dyDescent="0.2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5" x14ac:dyDescent="0.2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5" x14ac:dyDescent="0.2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5" x14ac:dyDescent="0.2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5" x14ac:dyDescent="0.2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5" x14ac:dyDescent="0.2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5" x14ac:dyDescent="0.2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5" x14ac:dyDescent="0.2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5" x14ac:dyDescent="0.2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5" x14ac:dyDescent="0.2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5" x14ac:dyDescent="0.2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5" x14ac:dyDescent="0.2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5" x14ac:dyDescent="0.2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5" x14ac:dyDescent="0.2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5" x14ac:dyDescent="0.2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5" x14ac:dyDescent="0.2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5" x14ac:dyDescent="0.2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5" x14ac:dyDescent="0.2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5" x14ac:dyDescent="0.2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5" x14ac:dyDescent="0.2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5" x14ac:dyDescent="0.2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5" x14ac:dyDescent="0.2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5" x14ac:dyDescent="0.2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5" x14ac:dyDescent="0.2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5" x14ac:dyDescent="0.2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5" x14ac:dyDescent="0.2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5" x14ac:dyDescent="0.2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5" x14ac:dyDescent="0.2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5" x14ac:dyDescent="0.2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5" x14ac:dyDescent="0.2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5" x14ac:dyDescent="0.2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5" x14ac:dyDescent="0.2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5" x14ac:dyDescent="0.2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5" x14ac:dyDescent="0.2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5" x14ac:dyDescent="0.2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5" x14ac:dyDescent="0.2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5" x14ac:dyDescent="0.2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5" x14ac:dyDescent="0.2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5" x14ac:dyDescent="0.2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5" x14ac:dyDescent="0.2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75" thickBot="1" x14ac:dyDescent="0.3">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75" thickBot="1" x14ac:dyDescent="0.3">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5" x14ac:dyDescent="0.25">
      <c r="AJ259" s="31" t="str">
        <f>IF(AI259="","",IF(VLOOKUP(AI259,'[2]G-7 Rivers Data'!$AA$4:$AB$6,2,FALSE)=0,"Spatial Data Missing",VLOOKUP(AI259,'[2]G-7 Rivers Data'!$AA$4:$AB$6,2,FALSE)))</f>
        <v/>
      </c>
    </row>
    <row r="260" spans="2:48" ht="15" x14ac:dyDescent="0.25"/>
    <row r="261" spans="2:48" ht="15" x14ac:dyDescent="0.25"/>
    <row r="262" spans="2:48" ht="15" x14ac:dyDescent="0.25"/>
    <row r="263" spans="2:48" ht="15" x14ac:dyDescent="0.25"/>
    <row r="264" spans="2:48" ht="15" x14ac:dyDescent="0.25"/>
    <row r="265" spans="2:48" ht="15" x14ac:dyDescent="0.25"/>
    <row r="266" spans="2:48" ht="15" x14ac:dyDescent="0.2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3">
      <c r="B1" s="31"/>
      <c r="C1" s="31"/>
    </row>
    <row r="2" spans="2:40" ht="19.5" customHeight="1" thickBot="1" x14ac:dyDescent="0.3">
      <c r="B2" s="743" t="str">
        <f>IF([2]Start!$F$12="","",[2]Start!$F$12)</f>
        <v/>
      </c>
      <c r="C2" s="744"/>
      <c r="D2" s="744"/>
      <c r="E2" s="745"/>
    </row>
    <row r="3" spans="2:40" ht="15" customHeight="1" thickBot="1" x14ac:dyDescent="0.3">
      <c r="B3" s="971" t="str">
        <f ca="1">MID(CELL("filename",A1),FIND("]",CELL("filename",A1))+1,256)</f>
        <v>F-1 Off Site River Baseline</v>
      </c>
      <c r="C3" s="972"/>
      <c r="D3" s="972"/>
      <c r="E3" s="973"/>
    </row>
    <row r="4" spans="2:40" ht="15" customHeight="1" thickBot="1" x14ac:dyDescent="0.3">
      <c r="B4" s="971"/>
      <c r="C4" s="972"/>
      <c r="D4" s="972"/>
      <c r="E4" s="973"/>
      <c r="S4" s="445"/>
      <c r="T4" s="1018" t="str">
        <f>IF(SUM(AG10:AG257)&gt;0,"Check Lengths ⚠","")</f>
        <v/>
      </c>
      <c r="U4" s="1018"/>
      <c r="V4" s="1018"/>
      <c r="W4" s="1018"/>
      <c r="X4" s="1018"/>
      <c r="Y4" s="1018"/>
    </row>
    <row r="5" spans="2:40" ht="27" customHeight="1" x14ac:dyDescent="0.25">
      <c r="B5" s="31"/>
      <c r="C5" s="31"/>
      <c r="S5" s="445"/>
      <c r="T5" s="1018"/>
      <c r="U5" s="1018"/>
      <c r="V5" s="1018"/>
      <c r="W5" s="1018"/>
      <c r="X5" s="1018"/>
      <c r="Y5" s="1018"/>
    </row>
    <row r="6" spans="2:40" ht="40.15" customHeight="1" x14ac:dyDescent="0.25">
      <c r="B6" s="31"/>
      <c r="C6" s="31"/>
      <c r="D6" s="131"/>
    </row>
    <row r="7" spans="2:40" ht="15.75" thickBot="1" x14ac:dyDescent="0.3"/>
    <row r="8" spans="2:40" ht="30.75" customHeight="1" thickBot="1" x14ac:dyDescent="0.3">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2.75" x14ac:dyDescent="0.25">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5" x14ac:dyDescent="0.2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5" x14ac:dyDescent="0.2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5" x14ac:dyDescent="0.2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5" x14ac:dyDescent="0.2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5" x14ac:dyDescent="0.2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5" x14ac:dyDescent="0.2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5" x14ac:dyDescent="0.2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5" x14ac:dyDescent="0.2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5" x14ac:dyDescent="0.2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5" x14ac:dyDescent="0.2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5" x14ac:dyDescent="0.2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5" x14ac:dyDescent="0.2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5" x14ac:dyDescent="0.2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5" x14ac:dyDescent="0.2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5" x14ac:dyDescent="0.2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5" x14ac:dyDescent="0.2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5" x14ac:dyDescent="0.2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5" x14ac:dyDescent="0.2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5" x14ac:dyDescent="0.2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5" x14ac:dyDescent="0.2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5" x14ac:dyDescent="0.2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5" x14ac:dyDescent="0.2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5" x14ac:dyDescent="0.2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5" x14ac:dyDescent="0.2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5" x14ac:dyDescent="0.2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5" x14ac:dyDescent="0.2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5" x14ac:dyDescent="0.2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5" x14ac:dyDescent="0.2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5" x14ac:dyDescent="0.2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5" x14ac:dyDescent="0.2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5" x14ac:dyDescent="0.2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5" x14ac:dyDescent="0.2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5" x14ac:dyDescent="0.2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5" x14ac:dyDescent="0.2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5" x14ac:dyDescent="0.2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5" x14ac:dyDescent="0.2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5" x14ac:dyDescent="0.2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5" x14ac:dyDescent="0.2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5" x14ac:dyDescent="0.2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5" x14ac:dyDescent="0.2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5" x14ac:dyDescent="0.2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5" x14ac:dyDescent="0.2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5" x14ac:dyDescent="0.2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5" x14ac:dyDescent="0.2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5" x14ac:dyDescent="0.2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5" x14ac:dyDescent="0.2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5" x14ac:dyDescent="0.2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5" x14ac:dyDescent="0.2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5" x14ac:dyDescent="0.2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5" x14ac:dyDescent="0.2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5" x14ac:dyDescent="0.2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5" x14ac:dyDescent="0.2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5" x14ac:dyDescent="0.2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5" x14ac:dyDescent="0.2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5" x14ac:dyDescent="0.2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5" x14ac:dyDescent="0.2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5" x14ac:dyDescent="0.2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5" x14ac:dyDescent="0.2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5" x14ac:dyDescent="0.2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5" x14ac:dyDescent="0.2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5" x14ac:dyDescent="0.2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5" x14ac:dyDescent="0.2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5" x14ac:dyDescent="0.2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5" x14ac:dyDescent="0.2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5" x14ac:dyDescent="0.2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5" x14ac:dyDescent="0.2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5" x14ac:dyDescent="0.2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5" x14ac:dyDescent="0.2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5" x14ac:dyDescent="0.2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5" x14ac:dyDescent="0.2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5" x14ac:dyDescent="0.2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5" x14ac:dyDescent="0.2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5" x14ac:dyDescent="0.2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5" x14ac:dyDescent="0.2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5" x14ac:dyDescent="0.2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5" x14ac:dyDescent="0.2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5" x14ac:dyDescent="0.2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5" x14ac:dyDescent="0.2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5" x14ac:dyDescent="0.2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5" x14ac:dyDescent="0.2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5" x14ac:dyDescent="0.2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5" x14ac:dyDescent="0.2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5" x14ac:dyDescent="0.2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5" x14ac:dyDescent="0.2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5" x14ac:dyDescent="0.2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5" x14ac:dyDescent="0.2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5" x14ac:dyDescent="0.2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5" x14ac:dyDescent="0.2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5" x14ac:dyDescent="0.2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5" x14ac:dyDescent="0.2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5" x14ac:dyDescent="0.2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5" x14ac:dyDescent="0.2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5" x14ac:dyDescent="0.2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5" x14ac:dyDescent="0.2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5" x14ac:dyDescent="0.2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5" x14ac:dyDescent="0.2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5" x14ac:dyDescent="0.2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5" x14ac:dyDescent="0.2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5" x14ac:dyDescent="0.2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5" x14ac:dyDescent="0.2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5" x14ac:dyDescent="0.2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5" x14ac:dyDescent="0.2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5" x14ac:dyDescent="0.2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5" x14ac:dyDescent="0.2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5" x14ac:dyDescent="0.2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5" x14ac:dyDescent="0.2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5" x14ac:dyDescent="0.2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5" x14ac:dyDescent="0.2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5" x14ac:dyDescent="0.2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5" x14ac:dyDescent="0.2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5" x14ac:dyDescent="0.2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5" x14ac:dyDescent="0.2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5" x14ac:dyDescent="0.2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5" x14ac:dyDescent="0.2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5" x14ac:dyDescent="0.2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5" x14ac:dyDescent="0.2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5" x14ac:dyDescent="0.2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5" x14ac:dyDescent="0.2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5" x14ac:dyDescent="0.2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5" x14ac:dyDescent="0.2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5" x14ac:dyDescent="0.2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5" x14ac:dyDescent="0.2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5" x14ac:dyDescent="0.2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5" x14ac:dyDescent="0.2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5" x14ac:dyDescent="0.2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5" x14ac:dyDescent="0.2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5" x14ac:dyDescent="0.2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5" x14ac:dyDescent="0.2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5" x14ac:dyDescent="0.2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5" x14ac:dyDescent="0.2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5" x14ac:dyDescent="0.2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5" x14ac:dyDescent="0.2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5" x14ac:dyDescent="0.2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5" x14ac:dyDescent="0.2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5" x14ac:dyDescent="0.2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5" x14ac:dyDescent="0.2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5" x14ac:dyDescent="0.2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5" x14ac:dyDescent="0.2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5" x14ac:dyDescent="0.2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5" x14ac:dyDescent="0.2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5" x14ac:dyDescent="0.2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5" x14ac:dyDescent="0.2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5" x14ac:dyDescent="0.2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5" x14ac:dyDescent="0.2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5" x14ac:dyDescent="0.2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5" x14ac:dyDescent="0.2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5" x14ac:dyDescent="0.2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5" x14ac:dyDescent="0.2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5" x14ac:dyDescent="0.2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5" x14ac:dyDescent="0.2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5" x14ac:dyDescent="0.2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5" x14ac:dyDescent="0.2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5" x14ac:dyDescent="0.2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5" x14ac:dyDescent="0.2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5" x14ac:dyDescent="0.2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5" x14ac:dyDescent="0.2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5" x14ac:dyDescent="0.2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5" x14ac:dyDescent="0.2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5" x14ac:dyDescent="0.2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5" x14ac:dyDescent="0.2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5" x14ac:dyDescent="0.2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5" x14ac:dyDescent="0.2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5" x14ac:dyDescent="0.2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5" x14ac:dyDescent="0.2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5" x14ac:dyDescent="0.2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5" x14ac:dyDescent="0.2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5" x14ac:dyDescent="0.2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5" x14ac:dyDescent="0.2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5" x14ac:dyDescent="0.2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5" x14ac:dyDescent="0.2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5" x14ac:dyDescent="0.2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5" x14ac:dyDescent="0.2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5" x14ac:dyDescent="0.2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5" x14ac:dyDescent="0.2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5" x14ac:dyDescent="0.2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5" x14ac:dyDescent="0.2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5" x14ac:dyDescent="0.2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5" x14ac:dyDescent="0.2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5" x14ac:dyDescent="0.2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5" x14ac:dyDescent="0.2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5" x14ac:dyDescent="0.2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5" x14ac:dyDescent="0.2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5" x14ac:dyDescent="0.2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5" x14ac:dyDescent="0.2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5" x14ac:dyDescent="0.2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5" x14ac:dyDescent="0.2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5" x14ac:dyDescent="0.2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5" x14ac:dyDescent="0.2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5" x14ac:dyDescent="0.2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5" x14ac:dyDescent="0.2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5" x14ac:dyDescent="0.2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5" x14ac:dyDescent="0.2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5" x14ac:dyDescent="0.2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5" x14ac:dyDescent="0.2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5" x14ac:dyDescent="0.2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5" x14ac:dyDescent="0.2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5" x14ac:dyDescent="0.2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5" x14ac:dyDescent="0.2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5" x14ac:dyDescent="0.2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5" x14ac:dyDescent="0.2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5" x14ac:dyDescent="0.2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5" x14ac:dyDescent="0.2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5" x14ac:dyDescent="0.2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5" x14ac:dyDescent="0.2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5" x14ac:dyDescent="0.2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5" x14ac:dyDescent="0.2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5" x14ac:dyDescent="0.2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5" x14ac:dyDescent="0.2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5" x14ac:dyDescent="0.2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5" x14ac:dyDescent="0.2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5" x14ac:dyDescent="0.2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5" x14ac:dyDescent="0.2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5" x14ac:dyDescent="0.2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5" x14ac:dyDescent="0.2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5" x14ac:dyDescent="0.2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5" x14ac:dyDescent="0.2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5" x14ac:dyDescent="0.2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5" x14ac:dyDescent="0.2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5" x14ac:dyDescent="0.2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5" x14ac:dyDescent="0.2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5" x14ac:dyDescent="0.2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5" x14ac:dyDescent="0.2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5" x14ac:dyDescent="0.2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5" x14ac:dyDescent="0.2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5" x14ac:dyDescent="0.2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5" x14ac:dyDescent="0.2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5" x14ac:dyDescent="0.2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5" x14ac:dyDescent="0.2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5" x14ac:dyDescent="0.2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5" x14ac:dyDescent="0.2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5" x14ac:dyDescent="0.2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5" x14ac:dyDescent="0.2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5" x14ac:dyDescent="0.2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5" x14ac:dyDescent="0.2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5" x14ac:dyDescent="0.2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5" x14ac:dyDescent="0.2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5" x14ac:dyDescent="0.2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5" x14ac:dyDescent="0.2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5" x14ac:dyDescent="0.2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5" x14ac:dyDescent="0.2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5" x14ac:dyDescent="0.2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5" x14ac:dyDescent="0.2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5" x14ac:dyDescent="0.2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5" x14ac:dyDescent="0.2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5" x14ac:dyDescent="0.2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5" x14ac:dyDescent="0.2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5" x14ac:dyDescent="0.2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75" thickBot="1" x14ac:dyDescent="0.3">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5" x14ac:dyDescent="0.25">
      <c r="B259" s="31"/>
      <c r="C259" s="31"/>
      <c r="S259" s="166"/>
      <c r="T259" s="166"/>
      <c r="U259" s="166"/>
      <c r="V259" s="166"/>
      <c r="W259" s="166"/>
      <c r="X259" s="166"/>
      <c r="Y259" s="166"/>
    </row>
    <row r="260" spans="2:40" ht="15" x14ac:dyDescent="0.25"/>
    <row r="261" spans="2:40" ht="15" x14ac:dyDescent="0.25"/>
    <row r="262" spans="2:40" ht="15" x14ac:dyDescent="0.25"/>
    <row r="263" spans="2:40" ht="15" x14ac:dyDescent="0.25"/>
    <row r="264" spans="2:40" ht="15" x14ac:dyDescent="0.25"/>
    <row r="265" spans="2:40" ht="15" x14ac:dyDescent="0.25"/>
    <row r="266" spans="2:40" ht="15" x14ac:dyDescent="0.25"/>
    <row r="267" spans="2:40" ht="15" x14ac:dyDescent="0.25"/>
    <row r="268" spans="2:40" ht="15" x14ac:dyDescent="0.25"/>
    <row r="269" spans="2:40" ht="15" x14ac:dyDescent="0.25"/>
    <row r="270" spans="2:40" ht="15" x14ac:dyDescent="0.25"/>
    <row r="271" spans="2:40" ht="15" x14ac:dyDescent="0.25"/>
    <row r="272" spans="2:40" ht="15" x14ac:dyDescent="0.2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75" thickBot="1" x14ac:dyDescent="0.3"/>
    <row r="2" spans="2:37" ht="18.600000000000001" customHeight="1" thickBot="1" x14ac:dyDescent="0.3">
      <c r="B2" s="743" t="str">
        <f>IF([2]Start!$F$12="","",[2]Start!$F$12)</f>
        <v/>
      </c>
      <c r="C2" s="744"/>
      <c r="D2" s="745"/>
      <c r="L2" s="908" t="str">
        <f>IF(OR(COUNTIF(L$12:$L259,"*30+*")&gt;0,COUNTIF(P$12:$P259,"*30+*")&gt;0),"Note; Habitat selected has a time to target condition greater than 30 years. Non standard agreement may be required.","")</f>
        <v/>
      </c>
      <c r="M2" s="908"/>
      <c r="N2" s="908"/>
      <c r="O2" s="908"/>
      <c r="P2" s="908"/>
      <c r="Q2" s="908"/>
    </row>
    <row r="3" spans="2:37" ht="15.6" customHeight="1" thickBot="1" x14ac:dyDescent="0.3">
      <c r="B3" s="971" t="str">
        <f ca="1">MID(CELL("filename",A1),FIND("]",CELL("filename",A1))+1,256)</f>
        <v>F-2 Off Site River Creation</v>
      </c>
      <c r="C3" s="972"/>
      <c r="D3" s="973"/>
      <c r="L3" s="908"/>
      <c r="M3" s="908"/>
      <c r="N3" s="908"/>
      <c r="O3" s="908"/>
      <c r="P3" s="908"/>
      <c r="Q3" s="908"/>
    </row>
    <row r="4" spans="2:37" ht="9.6" customHeight="1" thickBot="1" x14ac:dyDescent="0.3">
      <c r="B4" s="971"/>
      <c r="C4" s="972"/>
      <c r="D4" s="973"/>
      <c r="L4" s="908"/>
      <c r="M4" s="908"/>
      <c r="N4" s="908"/>
      <c r="O4" s="908"/>
      <c r="P4" s="908"/>
      <c r="Q4" s="908"/>
    </row>
    <row r="5" spans="2:37" ht="26.45" customHeight="1" x14ac:dyDescent="0.25">
      <c r="L5" s="908"/>
      <c r="M5" s="908"/>
      <c r="N5" s="908"/>
      <c r="O5" s="908"/>
      <c r="P5" s="908"/>
      <c r="Q5" s="908"/>
    </row>
    <row r="6" spans="2:37" ht="23.25" customHeight="1" x14ac:dyDescent="0.25">
      <c r="D6" s="131"/>
      <c r="L6" s="402"/>
      <c r="M6" s="402"/>
      <c r="N6" s="402"/>
      <c r="O6" s="402"/>
      <c r="P6" s="402"/>
    </row>
    <row r="7" spans="2:37" ht="15" x14ac:dyDescent="0.25"/>
    <row r="8" spans="2:37" ht="15" x14ac:dyDescent="0.25"/>
    <row r="9" spans="2:37" ht="15.75" customHeight="1" thickBot="1" x14ac:dyDescent="0.3"/>
    <row r="10" spans="2:37" s="42" customFormat="1" ht="29.25" customHeight="1" thickBot="1" x14ac:dyDescent="0.3">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57" x14ac:dyDescent="0.25">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5" x14ac:dyDescent="0.2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5" x14ac:dyDescent="0.2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5" x14ac:dyDescent="0.2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5" x14ac:dyDescent="0.2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5" x14ac:dyDescent="0.2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5" x14ac:dyDescent="0.2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5" x14ac:dyDescent="0.2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5" x14ac:dyDescent="0.2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5" x14ac:dyDescent="0.2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5" x14ac:dyDescent="0.2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5" x14ac:dyDescent="0.2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5" x14ac:dyDescent="0.2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5" x14ac:dyDescent="0.2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5" x14ac:dyDescent="0.2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5" x14ac:dyDescent="0.2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5" x14ac:dyDescent="0.2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5" x14ac:dyDescent="0.2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5" x14ac:dyDescent="0.2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5" x14ac:dyDescent="0.2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5" x14ac:dyDescent="0.2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5" x14ac:dyDescent="0.2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5" x14ac:dyDescent="0.2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5" x14ac:dyDescent="0.2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5" x14ac:dyDescent="0.2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5" x14ac:dyDescent="0.2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5" x14ac:dyDescent="0.2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5" x14ac:dyDescent="0.2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5" x14ac:dyDescent="0.2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5" x14ac:dyDescent="0.2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5" x14ac:dyDescent="0.2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5" x14ac:dyDescent="0.2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5" x14ac:dyDescent="0.2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5" x14ac:dyDescent="0.2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5" x14ac:dyDescent="0.2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5" x14ac:dyDescent="0.2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5" x14ac:dyDescent="0.2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5" x14ac:dyDescent="0.2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5" x14ac:dyDescent="0.2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5" x14ac:dyDescent="0.2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5" x14ac:dyDescent="0.2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5" x14ac:dyDescent="0.2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5" x14ac:dyDescent="0.2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5" x14ac:dyDescent="0.2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5" x14ac:dyDescent="0.2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5" x14ac:dyDescent="0.2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5" x14ac:dyDescent="0.2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5" x14ac:dyDescent="0.2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5" x14ac:dyDescent="0.2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5" x14ac:dyDescent="0.2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5" x14ac:dyDescent="0.2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5" x14ac:dyDescent="0.2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5" x14ac:dyDescent="0.2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5" x14ac:dyDescent="0.2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5" x14ac:dyDescent="0.2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5" x14ac:dyDescent="0.2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5" x14ac:dyDescent="0.2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5" x14ac:dyDescent="0.2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5" x14ac:dyDescent="0.2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5" x14ac:dyDescent="0.2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5" x14ac:dyDescent="0.2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5" x14ac:dyDescent="0.2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5" x14ac:dyDescent="0.2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5" x14ac:dyDescent="0.2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5" x14ac:dyDescent="0.2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5" x14ac:dyDescent="0.2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5" x14ac:dyDescent="0.2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5" x14ac:dyDescent="0.2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5" x14ac:dyDescent="0.2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5" x14ac:dyDescent="0.2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5" x14ac:dyDescent="0.2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5" x14ac:dyDescent="0.2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5" x14ac:dyDescent="0.2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5" x14ac:dyDescent="0.2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5" x14ac:dyDescent="0.2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5" x14ac:dyDescent="0.2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5" x14ac:dyDescent="0.2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5" x14ac:dyDescent="0.2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5" x14ac:dyDescent="0.2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5" x14ac:dyDescent="0.2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5" x14ac:dyDescent="0.2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5" x14ac:dyDescent="0.2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5" x14ac:dyDescent="0.2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5" x14ac:dyDescent="0.2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5" x14ac:dyDescent="0.2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5" x14ac:dyDescent="0.2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5" x14ac:dyDescent="0.2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5" x14ac:dyDescent="0.2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5" x14ac:dyDescent="0.2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5" x14ac:dyDescent="0.2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5" x14ac:dyDescent="0.2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5" x14ac:dyDescent="0.2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5" x14ac:dyDescent="0.2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5" x14ac:dyDescent="0.2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5" x14ac:dyDescent="0.2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5" x14ac:dyDescent="0.2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5" x14ac:dyDescent="0.2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5" x14ac:dyDescent="0.2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5" x14ac:dyDescent="0.2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5" x14ac:dyDescent="0.2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5" x14ac:dyDescent="0.2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5" x14ac:dyDescent="0.2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5" x14ac:dyDescent="0.2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5" x14ac:dyDescent="0.2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5" x14ac:dyDescent="0.2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5" x14ac:dyDescent="0.2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5" x14ac:dyDescent="0.2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5" x14ac:dyDescent="0.2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5" x14ac:dyDescent="0.2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5" x14ac:dyDescent="0.2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5" x14ac:dyDescent="0.2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5" x14ac:dyDescent="0.2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5" x14ac:dyDescent="0.2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5" x14ac:dyDescent="0.2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5" x14ac:dyDescent="0.2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5" x14ac:dyDescent="0.2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5" x14ac:dyDescent="0.2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5" x14ac:dyDescent="0.2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5" x14ac:dyDescent="0.2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5" x14ac:dyDescent="0.2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5" x14ac:dyDescent="0.2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5" x14ac:dyDescent="0.2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5" x14ac:dyDescent="0.2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5" x14ac:dyDescent="0.2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5" x14ac:dyDescent="0.2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5" x14ac:dyDescent="0.2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5" x14ac:dyDescent="0.2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5" x14ac:dyDescent="0.2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5" x14ac:dyDescent="0.2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5" x14ac:dyDescent="0.2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5" x14ac:dyDescent="0.2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5" x14ac:dyDescent="0.2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5" x14ac:dyDescent="0.2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5" x14ac:dyDescent="0.2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5" x14ac:dyDescent="0.2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5" x14ac:dyDescent="0.2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5" x14ac:dyDescent="0.2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5" x14ac:dyDescent="0.2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5" x14ac:dyDescent="0.2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5" x14ac:dyDescent="0.2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5" x14ac:dyDescent="0.2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5" x14ac:dyDescent="0.2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5" x14ac:dyDescent="0.2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5" x14ac:dyDescent="0.2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5" x14ac:dyDescent="0.2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5" x14ac:dyDescent="0.2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5" x14ac:dyDescent="0.2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5" x14ac:dyDescent="0.2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5" x14ac:dyDescent="0.2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5" x14ac:dyDescent="0.2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5" x14ac:dyDescent="0.2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5" x14ac:dyDescent="0.2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5" x14ac:dyDescent="0.2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5" x14ac:dyDescent="0.2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5" x14ac:dyDescent="0.2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5" x14ac:dyDescent="0.2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5" x14ac:dyDescent="0.2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5" x14ac:dyDescent="0.2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5" x14ac:dyDescent="0.2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5" x14ac:dyDescent="0.2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5" x14ac:dyDescent="0.2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5" x14ac:dyDescent="0.2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5" x14ac:dyDescent="0.2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5" x14ac:dyDescent="0.2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5" x14ac:dyDescent="0.2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5" x14ac:dyDescent="0.2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5" x14ac:dyDescent="0.2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5" x14ac:dyDescent="0.2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5" x14ac:dyDescent="0.2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5" x14ac:dyDescent="0.2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5" x14ac:dyDescent="0.2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5" x14ac:dyDescent="0.2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5" x14ac:dyDescent="0.2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5" x14ac:dyDescent="0.2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5" x14ac:dyDescent="0.2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5" x14ac:dyDescent="0.2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5" x14ac:dyDescent="0.2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5" x14ac:dyDescent="0.2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5" x14ac:dyDescent="0.2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5" x14ac:dyDescent="0.2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5" x14ac:dyDescent="0.2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5" x14ac:dyDescent="0.2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5" x14ac:dyDescent="0.2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5" x14ac:dyDescent="0.2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5" x14ac:dyDescent="0.2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5" x14ac:dyDescent="0.2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5" x14ac:dyDescent="0.2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5" x14ac:dyDescent="0.2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5" x14ac:dyDescent="0.2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5" x14ac:dyDescent="0.2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5" x14ac:dyDescent="0.2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5" x14ac:dyDescent="0.2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5" x14ac:dyDescent="0.2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5" x14ac:dyDescent="0.2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5" x14ac:dyDescent="0.2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5" x14ac:dyDescent="0.2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5" x14ac:dyDescent="0.2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5" x14ac:dyDescent="0.2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5" x14ac:dyDescent="0.2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5" x14ac:dyDescent="0.2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5" x14ac:dyDescent="0.2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5" x14ac:dyDescent="0.2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5" x14ac:dyDescent="0.2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5" x14ac:dyDescent="0.2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5" x14ac:dyDescent="0.2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5" x14ac:dyDescent="0.2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5" x14ac:dyDescent="0.2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5" x14ac:dyDescent="0.2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5" x14ac:dyDescent="0.2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5" x14ac:dyDescent="0.2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5" x14ac:dyDescent="0.2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5" x14ac:dyDescent="0.2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5" x14ac:dyDescent="0.2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5" x14ac:dyDescent="0.2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5" x14ac:dyDescent="0.2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5" x14ac:dyDescent="0.2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5" x14ac:dyDescent="0.2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5" x14ac:dyDescent="0.2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5" x14ac:dyDescent="0.2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5" x14ac:dyDescent="0.2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5" x14ac:dyDescent="0.2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5" x14ac:dyDescent="0.2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5" x14ac:dyDescent="0.2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5" x14ac:dyDescent="0.2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5" x14ac:dyDescent="0.2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5" x14ac:dyDescent="0.2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5" x14ac:dyDescent="0.2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5" x14ac:dyDescent="0.2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5" x14ac:dyDescent="0.2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5" x14ac:dyDescent="0.2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5" x14ac:dyDescent="0.2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5" x14ac:dyDescent="0.2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5" x14ac:dyDescent="0.2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5" x14ac:dyDescent="0.2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5" x14ac:dyDescent="0.2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5" x14ac:dyDescent="0.2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5" x14ac:dyDescent="0.2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5" x14ac:dyDescent="0.2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5" x14ac:dyDescent="0.2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5" x14ac:dyDescent="0.2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5" x14ac:dyDescent="0.2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5" x14ac:dyDescent="0.2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5" x14ac:dyDescent="0.2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5" x14ac:dyDescent="0.2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5" x14ac:dyDescent="0.2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5" x14ac:dyDescent="0.2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5" x14ac:dyDescent="0.2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5" x14ac:dyDescent="0.2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75" thickBot="1" x14ac:dyDescent="0.3">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75"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25"/>
    <row r="262" spans="2:37" ht="27" customHeight="1" x14ac:dyDescent="0.25"/>
    <row r="263" spans="2:37" ht="15" x14ac:dyDescent="0.25"/>
    <row r="264" spans="2:37" ht="15" x14ac:dyDescent="0.25"/>
    <row r="265" spans="2:37" ht="15" x14ac:dyDescent="0.25"/>
    <row r="266" spans="2:37" ht="15" x14ac:dyDescent="0.25"/>
    <row r="267" spans="2:37" ht="15" x14ac:dyDescent="0.25"/>
    <row r="268" spans="2:37" ht="15" x14ac:dyDescent="0.25"/>
    <row r="269" spans="2:37" ht="15" hidden="1" x14ac:dyDescent="0.25"/>
    <row r="270" spans="2:37" ht="15" hidden="1" x14ac:dyDescent="0.25"/>
    <row r="271" spans="2:37" ht="15" hidden="1" x14ac:dyDescent="0.25"/>
    <row r="272" spans="2:37" ht="15" hidden="1" x14ac:dyDescent="0.25"/>
    <row r="273" ht="15" hidden="1" x14ac:dyDescent="0.25"/>
    <row r="274" ht="15" hidden="1" x14ac:dyDescent="0.25"/>
    <row r="275" ht="15" hidden="1" x14ac:dyDescent="0.25"/>
    <row r="1048576" ht="15" x14ac:dyDescent="0.2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3"/>
    <row r="2" spans="2:50" ht="27" customHeight="1" thickBot="1" x14ac:dyDescent="0.3">
      <c r="B2" s="743" t="str">
        <f>IF([2]Start!$F$12="","",[2]Start!$F$12)</f>
        <v/>
      </c>
      <c r="C2" s="745"/>
      <c r="R2" s="132"/>
      <c r="Y2" s="908" t="str">
        <f>IF(OR(COUNTIF($Y$12:Y259,"*30+*")&gt;0,COUNTIF($AC$12:AC259,"*30+*")&gt;0),"Note; Habitat selected has a time to target condition greater than 30 years. Non standard agreement may be required. ⚠","")</f>
        <v/>
      </c>
      <c r="Z2" s="908"/>
      <c r="AA2" s="908"/>
      <c r="AB2" s="908"/>
      <c r="AC2" s="908"/>
      <c r="AD2" s="908"/>
    </row>
    <row r="3" spans="2:50" ht="21" customHeight="1" x14ac:dyDescent="0.25">
      <c r="B3" s="1027" t="str">
        <f ca="1">MID(CELL("filename",A1),FIND("]",CELL("filename",A1))+1,256)</f>
        <v>F-3 Off Site River Enhancement</v>
      </c>
      <c r="C3" s="1028"/>
      <c r="Y3" s="908"/>
      <c r="Z3" s="908"/>
      <c r="AA3" s="908"/>
      <c r="AB3" s="908"/>
      <c r="AC3" s="908"/>
      <c r="AD3" s="908"/>
    </row>
    <row r="4" spans="2:50" ht="21" customHeight="1" thickBot="1" x14ac:dyDescent="0.3">
      <c r="B4" s="1029"/>
      <c r="C4" s="1030"/>
      <c r="Y4" s="908"/>
      <c r="Z4" s="908"/>
      <c r="AA4" s="908"/>
      <c r="AB4" s="908"/>
      <c r="AC4" s="908"/>
      <c r="AD4" s="908"/>
    </row>
    <row r="5" spans="2:50" ht="15.6" customHeight="1" x14ac:dyDescent="0.25">
      <c r="Q5" s="31" t="s">
        <v>340</v>
      </c>
      <c r="AH5" s="193"/>
      <c r="AI5" s="193"/>
      <c r="AJ5" s="193"/>
      <c r="AK5" s="193"/>
      <c r="AL5" s="193"/>
      <c r="AM5" s="193"/>
      <c r="AN5" s="193"/>
    </row>
    <row r="6" spans="2:50" ht="15" customHeight="1" x14ac:dyDescent="0.25"/>
    <row r="7" spans="2:50" ht="15" x14ac:dyDescent="0.25">
      <c r="C7" s="131"/>
    </row>
    <row r="8" spans="2:50" ht="15.75" thickBot="1" x14ac:dyDescent="0.3"/>
    <row r="9" spans="2:50" ht="15.75" thickBot="1" x14ac:dyDescent="0.3">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3">
      <c r="C10" s="1005" t="s">
        <v>247</v>
      </c>
      <c r="D10" s="1011"/>
      <c r="E10" s="1011"/>
      <c r="F10" s="1011"/>
      <c r="G10" s="1011"/>
      <c r="H10" s="1011"/>
      <c r="I10" s="1011"/>
      <c r="J10" s="1011"/>
      <c r="K10" s="1011"/>
      <c r="L10" s="1011"/>
      <c r="M10" s="1011"/>
      <c r="N10" s="1033" t="s">
        <v>341</v>
      </c>
      <c r="O10" s="1031" t="s">
        <v>249</v>
      </c>
      <c r="P10" s="103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x14ac:dyDescent="0.3">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4"/>
      <c r="O11" s="367" t="s">
        <v>310</v>
      </c>
      <c r="P11" s="358" t="s">
        <v>311</v>
      </c>
      <c r="Q11" s="1035"/>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6"/>
      <c r="AP11" s="141" t="s">
        <v>215</v>
      </c>
      <c r="AQ11" s="358" t="s">
        <v>216</v>
      </c>
      <c r="AX11" s="260" t="s">
        <v>200</v>
      </c>
    </row>
    <row r="12" spans="2:50" ht="15" x14ac:dyDescent="0.2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5" x14ac:dyDescent="0.2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5" x14ac:dyDescent="0.2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5" x14ac:dyDescent="0.2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5" x14ac:dyDescent="0.2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5" x14ac:dyDescent="0.2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5" x14ac:dyDescent="0.2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5" x14ac:dyDescent="0.2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5" x14ac:dyDescent="0.2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5" x14ac:dyDescent="0.2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5" x14ac:dyDescent="0.2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5" x14ac:dyDescent="0.2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5" x14ac:dyDescent="0.2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5" x14ac:dyDescent="0.2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5" x14ac:dyDescent="0.2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5" x14ac:dyDescent="0.2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5" x14ac:dyDescent="0.2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5" x14ac:dyDescent="0.2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5" x14ac:dyDescent="0.2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5" x14ac:dyDescent="0.2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5" x14ac:dyDescent="0.2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5" x14ac:dyDescent="0.2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5" x14ac:dyDescent="0.2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5" x14ac:dyDescent="0.2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5" x14ac:dyDescent="0.2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5" x14ac:dyDescent="0.2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5" x14ac:dyDescent="0.2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5" x14ac:dyDescent="0.2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5" x14ac:dyDescent="0.2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5" x14ac:dyDescent="0.2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5" x14ac:dyDescent="0.2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5" x14ac:dyDescent="0.2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5" x14ac:dyDescent="0.2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5" x14ac:dyDescent="0.2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5" x14ac:dyDescent="0.2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5" x14ac:dyDescent="0.2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5" x14ac:dyDescent="0.2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5" x14ac:dyDescent="0.2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5" x14ac:dyDescent="0.2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5" x14ac:dyDescent="0.2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5" x14ac:dyDescent="0.2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5" x14ac:dyDescent="0.2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5" x14ac:dyDescent="0.2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5" x14ac:dyDescent="0.2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5" x14ac:dyDescent="0.2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5" x14ac:dyDescent="0.2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5" x14ac:dyDescent="0.2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5" x14ac:dyDescent="0.2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5" x14ac:dyDescent="0.2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5" x14ac:dyDescent="0.2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5" x14ac:dyDescent="0.2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5" x14ac:dyDescent="0.2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5" x14ac:dyDescent="0.2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5" x14ac:dyDescent="0.2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5" x14ac:dyDescent="0.2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5" x14ac:dyDescent="0.2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5" x14ac:dyDescent="0.2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5" x14ac:dyDescent="0.2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5" x14ac:dyDescent="0.2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5" x14ac:dyDescent="0.2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5" x14ac:dyDescent="0.2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5" x14ac:dyDescent="0.2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5" x14ac:dyDescent="0.2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5" x14ac:dyDescent="0.2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5" x14ac:dyDescent="0.2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5" x14ac:dyDescent="0.2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5" x14ac:dyDescent="0.2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5" x14ac:dyDescent="0.2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5" x14ac:dyDescent="0.2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5" x14ac:dyDescent="0.2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5" x14ac:dyDescent="0.2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5" x14ac:dyDescent="0.2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5" x14ac:dyDescent="0.2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5" x14ac:dyDescent="0.2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5" x14ac:dyDescent="0.2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5" x14ac:dyDescent="0.2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5" x14ac:dyDescent="0.2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5" x14ac:dyDescent="0.2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5" x14ac:dyDescent="0.2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5" x14ac:dyDescent="0.2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5" x14ac:dyDescent="0.2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5" x14ac:dyDescent="0.2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5" x14ac:dyDescent="0.2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5" x14ac:dyDescent="0.2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5" x14ac:dyDescent="0.2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5" x14ac:dyDescent="0.2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5" x14ac:dyDescent="0.2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5" x14ac:dyDescent="0.2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5" x14ac:dyDescent="0.2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5" x14ac:dyDescent="0.2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5" x14ac:dyDescent="0.2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5" x14ac:dyDescent="0.2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5" x14ac:dyDescent="0.2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5" x14ac:dyDescent="0.2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5" x14ac:dyDescent="0.2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5" x14ac:dyDescent="0.2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5" x14ac:dyDescent="0.2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5" x14ac:dyDescent="0.2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5" x14ac:dyDescent="0.2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5" x14ac:dyDescent="0.2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5" x14ac:dyDescent="0.2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5" x14ac:dyDescent="0.2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5" x14ac:dyDescent="0.2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5" x14ac:dyDescent="0.2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5" x14ac:dyDescent="0.2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5" x14ac:dyDescent="0.2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5" x14ac:dyDescent="0.2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5" x14ac:dyDescent="0.2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5" x14ac:dyDescent="0.2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5" x14ac:dyDescent="0.2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5" x14ac:dyDescent="0.2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5" x14ac:dyDescent="0.2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5" x14ac:dyDescent="0.2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5" x14ac:dyDescent="0.2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5" x14ac:dyDescent="0.2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5" x14ac:dyDescent="0.2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5" x14ac:dyDescent="0.2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5" x14ac:dyDescent="0.2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5" x14ac:dyDescent="0.2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5" x14ac:dyDescent="0.2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5" x14ac:dyDescent="0.2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5" x14ac:dyDescent="0.2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5" x14ac:dyDescent="0.2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5" x14ac:dyDescent="0.2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5" x14ac:dyDescent="0.2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5" x14ac:dyDescent="0.2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5" x14ac:dyDescent="0.2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5" x14ac:dyDescent="0.2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5" x14ac:dyDescent="0.2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5" x14ac:dyDescent="0.2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5" x14ac:dyDescent="0.2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5" x14ac:dyDescent="0.2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5" x14ac:dyDescent="0.2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5" x14ac:dyDescent="0.2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5" x14ac:dyDescent="0.2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5" x14ac:dyDescent="0.2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5" x14ac:dyDescent="0.2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5" x14ac:dyDescent="0.2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5" x14ac:dyDescent="0.2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5" x14ac:dyDescent="0.2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5" x14ac:dyDescent="0.2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5" x14ac:dyDescent="0.2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5" x14ac:dyDescent="0.2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5" x14ac:dyDescent="0.2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5" x14ac:dyDescent="0.2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5" x14ac:dyDescent="0.2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5" x14ac:dyDescent="0.2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5" x14ac:dyDescent="0.2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5" x14ac:dyDescent="0.2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5" x14ac:dyDescent="0.2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5" x14ac:dyDescent="0.2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5" x14ac:dyDescent="0.2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5" x14ac:dyDescent="0.2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5" x14ac:dyDescent="0.2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5" x14ac:dyDescent="0.2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5" x14ac:dyDescent="0.2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5" x14ac:dyDescent="0.2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5" x14ac:dyDescent="0.2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5" x14ac:dyDescent="0.2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5" x14ac:dyDescent="0.2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5" x14ac:dyDescent="0.2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5" x14ac:dyDescent="0.2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5" x14ac:dyDescent="0.2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5" x14ac:dyDescent="0.2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5" x14ac:dyDescent="0.2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5" x14ac:dyDescent="0.2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5" x14ac:dyDescent="0.2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5" x14ac:dyDescent="0.2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5" x14ac:dyDescent="0.2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5" x14ac:dyDescent="0.2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5" x14ac:dyDescent="0.2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5" x14ac:dyDescent="0.2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5" x14ac:dyDescent="0.2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5" x14ac:dyDescent="0.2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5" x14ac:dyDescent="0.2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5" x14ac:dyDescent="0.2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5" x14ac:dyDescent="0.2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5" x14ac:dyDescent="0.2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5" x14ac:dyDescent="0.2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5" x14ac:dyDescent="0.2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5" x14ac:dyDescent="0.2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5" x14ac:dyDescent="0.2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5" x14ac:dyDescent="0.2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5" x14ac:dyDescent="0.2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5" x14ac:dyDescent="0.2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5" x14ac:dyDescent="0.2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5" x14ac:dyDescent="0.2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5" x14ac:dyDescent="0.2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5" x14ac:dyDescent="0.2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5" x14ac:dyDescent="0.2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5" x14ac:dyDescent="0.2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5" x14ac:dyDescent="0.2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5" x14ac:dyDescent="0.2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5" x14ac:dyDescent="0.2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5" x14ac:dyDescent="0.2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5" x14ac:dyDescent="0.2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5" x14ac:dyDescent="0.2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5" x14ac:dyDescent="0.2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5" x14ac:dyDescent="0.2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5" x14ac:dyDescent="0.2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5" x14ac:dyDescent="0.2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5" x14ac:dyDescent="0.2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5" x14ac:dyDescent="0.2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5" x14ac:dyDescent="0.2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5" x14ac:dyDescent="0.2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5" x14ac:dyDescent="0.2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5" x14ac:dyDescent="0.2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5" x14ac:dyDescent="0.2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5" x14ac:dyDescent="0.2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5" x14ac:dyDescent="0.2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5" x14ac:dyDescent="0.2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5" x14ac:dyDescent="0.2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5" x14ac:dyDescent="0.2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5" x14ac:dyDescent="0.2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5" x14ac:dyDescent="0.2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5" x14ac:dyDescent="0.2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5" x14ac:dyDescent="0.2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5" x14ac:dyDescent="0.2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5" x14ac:dyDescent="0.2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5" x14ac:dyDescent="0.2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5" x14ac:dyDescent="0.2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5" x14ac:dyDescent="0.2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5" x14ac:dyDescent="0.2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5" x14ac:dyDescent="0.2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5" x14ac:dyDescent="0.2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5" x14ac:dyDescent="0.2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5" x14ac:dyDescent="0.2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5" x14ac:dyDescent="0.2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5" x14ac:dyDescent="0.2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5" x14ac:dyDescent="0.2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5" x14ac:dyDescent="0.2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5" x14ac:dyDescent="0.2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5" x14ac:dyDescent="0.2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5" x14ac:dyDescent="0.2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5" x14ac:dyDescent="0.2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5" x14ac:dyDescent="0.2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5" x14ac:dyDescent="0.2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5" x14ac:dyDescent="0.2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5" x14ac:dyDescent="0.2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5" x14ac:dyDescent="0.2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5" x14ac:dyDescent="0.2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5" x14ac:dyDescent="0.2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5" x14ac:dyDescent="0.2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5" x14ac:dyDescent="0.2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5" x14ac:dyDescent="0.2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75" thickBot="1" x14ac:dyDescent="0.3">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75" thickBot="1" x14ac:dyDescent="0.3">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5" x14ac:dyDescent="0.25">
      <c r="AJ259" s="31" t="str">
        <f>IF(AI259="","",IF(VLOOKUP(AI259,'[2]G-7 Rivers Data'!$AA$4:$AB$6,2,FALSE)=0,"Spatial Data Missing",VLOOKUP(AI259,'[2]G-7 Rivers Data'!$AA$4:$AB$6,2,FALSE)))</f>
        <v/>
      </c>
      <c r="AM259" s="40"/>
    </row>
    <row r="260" spans="2:50" ht="15" x14ac:dyDescent="0.25"/>
    <row r="261" spans="2:50" ht="15" x14ac:dyDescent="0.25"/>
    <row r="262" spans="2:50" ht="15" x14ac:dyDescent="0.25"/>
    <row r="263" spans="2:50" ht="15" x14ac:dyDescent="0.25"/>
    <row r="264" spans="2:50" ht="15" x14ac:dyDescent="0.25"/>
    <row r="265" spans="2:50" ht="15" x14ac:dyDescent="0.25"/>
    <row r="266" spans="2:50" ht="15" x14ac:dyDescent="0.2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40625" defaultRowHeight="15" zeroHeight="1" x14ac:dyDescent="0.25"/>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39" t="s">
        <v>342</v>
      </c>
      <c r="E1" s="1039"/>
      <c r="F1" s="1039"/>
      <c r="G1" s="211"/>
      <c r="H1" s="211"/>
      <c r="I1" s="211"/>
      <c r="J1" s="211"/>
      <c r="V1" s="954" t="s">
        <v>343</v>
      </c>
      <c r="W1" s="1036"/>
      <c r="X1" s="956"/>
      <c r="Z1" s="954" t="s">
        <v>344</v>
      </c>
      <c r="AA1" s="956"/>
      <c r="AF1" s="1037" t="s">
        <v>345</v>
      </c>
      <c r="AG1" s="1037" t="s">
        <v>346</v>
      </c>
    </row>
    <row r="2" spans="1:33" s="117" customFormat="1" ht="41.45" customHeight="1" x14ac:dyDescent="0.25">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8.5" x14ac:dyDescent="0.25">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25">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2.75" x14ac:dyDescent="0.25">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8.5" x14ac:dyDescent="0.25">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25">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25">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25">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25">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25">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5.75" thickBot="1" x14ac:dyDescent="0.3">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25">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25">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25">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25">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25">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25">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25">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25">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25">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25">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25">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25">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5.75" thickBot="1" x14ac:dyDescent="0.3">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25">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25">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25">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25">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25">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25">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30" x14ac:dyDescent="0.25">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25">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25">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25">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25">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5.75" thickBot="1" x14ac:dyDescent="0.3">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25">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25">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25">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25">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25">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25">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25">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25">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25">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25">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5.75" thickBot="1" x14ac:dyDescent="0.3">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25">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25">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25">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25">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25">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25">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25">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5.75" thickBot="1" x14ac:dyDescent="0.3">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25">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25">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25">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25">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25">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25">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25">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25">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25">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25">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25">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25">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25">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25">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25">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25">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25">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25">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25">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25">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5.75" thickBot="1" x14ac:dyDescent="0.3">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25">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25">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25">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25">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25">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25">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25">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5.75" thickBot="1" x14ac:dyDescent="0.3">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25">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25">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25">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25">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25">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25">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25">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25">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25">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25">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25">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25">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5.75" thickBot="1" x14ac:dyDescent="0.3">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5.75" thickBot="1" x14ac:dyDescent="0.3">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25">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25">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25">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25">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25">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25">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25">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5.75" thickBot="1" x14ac:dyDescent="0.3">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25">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5.75" thickBot="1" x14ac:dyDescent="0.3">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25">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25">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25">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25">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25">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25">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25">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25">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25">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25">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25">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25">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25">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25">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25">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25">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5.75" thickBot="1" x14ac:dyDescent="0.3">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25">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25">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30" x14ac:dyDescent="0.25">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25"/>
    <row r="131" spans="1:19" x14ac:dyDescent="0.25"/>
    <row r="132" spans="1:19" x14ac:dyDescent="0.25"/>
    <row r="133" spans="1:19" x14ac:dyDescent="0.25"/>
    <row r="134" spans="1:19" x14ac:dyDescent="0.25"/>
    <row r="135" spans="1:19" x14ac:dyDescent="0.25"/>
    <row r="136" spans="1:19" x14ac:dyDescent="0.25"/>
    <row r="137" spans="1:19" x14ac:dyDescent="0.25"/>
    <row r="138" spans="1:19" x14ac:dyDescent="0.25"/>
    <row r="139" spans="1:19" x14ac:dyDescent="0.25"/>
    <row r="140" spans="1:19" x14ac:dyDescent="0.25"/>
    <row r="144" spans="1:19" x14ac:dyDescent="0.25"/>
    <row r="148" x14ac:dyDescent="0.25"/>
    <row r="149" x14ac:dyDescent="0.25"/>
    <row r="150" x14ac:dyDescent="0.25"/>
    <row r="151" x14ac:dyDescent="0.25"/>
    <row r="152" x14ac:dyDescent="0.25"/>
    <row r="153" x14ac:dyDescent="0.25"/>
    <row r="154" x14ac:dyDescent="0.25"/>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5" x14ac:dyDescent="0.25"/>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3.25" x14ac:dyDescent="0.3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x14ac:dyDescent="0.25">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0</v>
      </c>
      <c r="AL5" s="100">
        <f t="shared" si="11"/>
        <v>0</v>
      </c>
      <c r="AM5" s="100">
        <f t="shared" si="12"/>
        <v>0</v>
      </c>
      <c r="AN5" s="100">
        <f t="shared" si="13"/>
        <v>0</v>
      </c>
      <c r="AO5" s="111">
        <f t="shared" si="14"/>
        <v>0</v>
      </c>
      <c r="AP5" s="111">
        <f t="shared" si="15"/>
        <v>0</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x14ac:dyDescent="0.25">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x14ac:dyDescent="0.25">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x14ac:dyDescent="0.25">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x14ac:dyDescent="0.25">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0.44769999999999999</v>
      </c>
      <c r="AL9" s="100">
        <f t="shared" si="11"/>
        <v>1.2216</v>
      </c>
      <c r="AM9" s="100">
        <f t="shared" si="12"/>
        <v>0.51680000000000004</v>
      </c>
      <c r="AN9" s="100">
        <f t="shared" si="13"/>
        <v>1.2904766974953601</v>
      </c>
      <c r="AO9" s="111">
        <f t="shared" si="14"/>
        <v>6.9100000000000023E-2</v>
      </c>
      <c r="AP9" s="111">
        <f t="shared" si="15"/>
        <v>6.8876697495360018E-2</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5">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x14ac:dyDescent="0.25">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x14ac:dyDescent="0.25">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x14ac:dyDescent="0.25">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x14ac:dyDescent="0.25">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5">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5">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5">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5">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25">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5">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5">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5">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5">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5">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5">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5">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x14ac:dyDescent="0.25">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5">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25">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5">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25">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5">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5">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5">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5">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5">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5">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5">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5">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5">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5">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25">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5">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5">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5">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5">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5">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25">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5">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5">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5">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25">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5">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5">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5">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5">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5">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5">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5">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5">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5">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5">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0.13</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0.13</v>
      </c>
      <c r="J64" s="493">
        <f>SUMIF('A-1 Site Habitat Baseline'!$G$11:$G$258,'G-2 Habitat groups'!A64,'A-1 Site Habitat Baseline'!$X$11:$X$258)</f>
        <v>0</v>
      </c>
      <c r="K64" s="493">
        <f>SUMIF('A-2 Site Habitat Creation'!$F$11:$F$256,'G-2 Habitat groups'!A64,'A-2 Site Habitat Creation'!$G$11:$G$256)</f>
        <v>0.15</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0.15</v>
      </c>
      <c r="P64" s="493">
        <f t="shared" si="54"/>
        <v>0</v>
      </c>
      <c r="Q64" s="493">
        <f t="shared" si="55"/>
        <v>1.999999999999999E-2</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1.999999999999999E-2</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5">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5">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5">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5">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5">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0.06</v>
      </c>
      <c r="L69" s="493">
        <f>SUMIF('A-2 Site Habitat Creation'!$F$11:$F$256,'G-2 Habitat groups'!A69,'A-2 Site Habitat Creation'!$Y$11:$Y$256)</f>
        <v>0.26912411011296</v>
      </c>
      <c r="M69" s="493">
        <f>SUMIF('A-3 Site Habitat Enhancement'!$S$12:$S$257,'G-2 Habitat groups'!A69,'A-3 Site Habitat Enhancement'!$V$12:$V$257)</f>
        <v>0</v>
      </c>
      <c r="N69" s="493">
        <f>SUMIF('A-3 Site Habitat Enhancement'!$S$12:$S$257,'G-2 Habitat groups'!A69,'A-3 Site Habitat Enhancement'!$AN$12:$AN$257)</f>
        <v>0</v>
      </c>
      <c r="O69" s="493">
        <f t="shared" si="63"/>
        <v>0.06</v>
      </c>
      <c r="P69" s="493">
        <f t="shared" si="64"/>
        <v>0.26912411011296</v>
      </c>
      <c r="Q69" s="493">
        <f t="shared" si="65"/>
        <v>0.06</v>
      </c>
      <c r="R69" s="493">
        <f t="shared" si="66"/>
        <v>0.26912411011296</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0.06</v>
      </c>
      <c r="AF69" s="493">
        <f t="shared" si="72"/>
        <v>0.26912411011296</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5">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5">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25">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5">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5">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9.7699999999999995E-2</v>
      </c>
      <c r="F74" s="493">
        <f>SUMIF('A-1 Site Habitat Baseline'!$G$11:$G$258,'G-2 Habitat groups'!A74,'A-1 Site Habitat Baseline'!$Q$11:$Q$258)</f>
        <v>0.78159999999999996</v>
      </c>
      <c r="G74" s="493">
        <f>SUMIF('A-1 Site Habitat Baseline'!$G$11:$G$258,'G-2 Habitat groups'!A74,'A-1 Site Habitat Baseline'!$S$11:$S$258)</f>
        <v>4.8800000000000003E-2</v>
      </c>
      <c r="H74" s="493">
        <f>SUMIF('A-1 Site Habitat Baseline'!$G$11:$G$258,'G-2 Habitat groups'!A74,'A-1 Site Habitat Baseline'!$U$11:$U$258)</f>
        <v>0.39040000000000002</v>
      </c>
      <c r="I74" s="493">
        <f>SUMIF('A-1 Site Habitat Baseline'!$G$11:$G$258,'G-2 Habitat groups'!A74,'A-1 Site Habitat Baseline'!$W$11:$W$258)</f>
        <v>4.8899999999999992E-2</v>
      </c>
      <c r="J74" s="493">
        <f>SUMIF('A-1 Site Habitat Baseline'!$G$11:$G$258,'G-2 Habitat groups'!A74,'A-1 Site Habitat Baseline'!$X$11:$X$258)</f>
        <v>0.39119999999999994</v>
      </c>
      <c r="K74" s="493">
        <f>SUMIF('A-2 Site Habitat Creation'!$F$11:$F$256,'G-2 Habitat groups'!A74,'A-2 Site Habitat Creation'!$G$11:$G$256)</f>
        <v>0.11799999999999999</v>
      </c>
      <c r="L74" s="493">
        <f>SUMIF('A-2 Site Habitat Creation'!$F$11:$F$256,'G-2 Habitat groups'!A74,'A-2 Site Habitat Creation'!$Y$11:$Y$256)</f>
        <v>0.36075258738239996</v>
      </c>
      <c r="M74" s="493">
        <f>SUMIF('A-3 Site Habitat Enhancement'!$S$12:$S$257,'G-2 Habitat groups'!A74,'A-3 Site Habitat Enhancement'!$V$12:$V$257)</f>
        <v>0</v>
      </c>
      <c r="N74" s="493">
        <f>SUMIF('A-3 Site Habitat Enhancement'!$S$12:$S$257,'G-2 Habitat groups'!A74,'A-3 Site Habitat Enhancement'!$AN$12:$AN$257)</f>
        <v>0</v>
      </c>
      <c r="O74" s="493">
        <f t="shared" si="63"/>
        <v>0.1668</v>
      </c>
      <c r="P74" s="493">
        <f t="shared" si="64"/>
        <v>0.75115258738239998</v>
      </c>
      <c r="Q74" s="493">
        <f t="shared" si="65"/>
        <v>6.9100000000000009E-2</v>
      </c>
      <c r="R74" s="493">
        <f t="shared" si="66"/>
        <v>-3.0447412617599978E-2</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6.9100000000000009E-2</v>
      </c>
      <c r="AF74" s="493">
        <f t="shared" si="72"/>
        <v>-3.0447412617599978E-2</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5">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5">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0.22</v>
      </c>
      <c r="F78" s="493">
        <f>SUMIF('A-1 Site Habitat Baseline'!$G$11:$G$258,'G-2 Habitat groups'!A78,'A-1 Site Habitat Baseline'!$Q$11:$Q$258)</f>
        <v>0.44</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0.22</v>
      </c>
      <c r="J78" s="493">
        <f>SUMIF('A-1 Site Habitat Baseline'!$G$11:$G$258,'G-2 Habitat groups'!A78,'A-1 Site Habitat Baseline'!$X$11:$X$258)</f>
        <v>0.44</v>
      </c>
      <c r="K78" s="493">
        <f>SUMIF('A-2 Site Habitat Creation'!$F$11:$F$256,'G-2 Habitat groups'!A78,'A-2 Site Habitat Creation'!$G$11:$G$256)</f>
        <v>0.14000000000000001</v>
      </c>
      <c r="L78" s="493">
        <f>SUMIF('A-2 Site Habitat Creation'!$F$11:$F$256,'G-2 Habitat groups'!A78,'A-2 Site Habitat Creation'!$Y$11:$Y$256)</f>
        <v>0.2702</v>
      </c>
      <c r="M78" s="493">
        <f>SUMIF('A-3 Site Habitat Enhancement'!$S$12:$S$257,'G-2 Habitat groups'!A78,'A-3 Site Habitat Enhancement'!$V$12:$V$257)</f>
        <v>0</v>
      </c>
      <c r="N78" s="493">
        <f>SUMIF('A-3 Site Habitat Enhancement'!$S$12:$S$257,'G-2 Habitat groups'!A78,'A-3 Site Habitat Enhancement'!$AN$12:$AN$257)</f>
        <v>0</v>
      </c>
      <c r="O78" s="493">
        <f t="shared" si="63"/>
        <v>0.14000000000000001</v>
      </c>
      <c r="P78" s="493">
        <f t="shared" si="64"/>
        <v>0.2702</v>
      </c>
      <c r="Q78" s="493">
        <f t="shared" si="65"/>
        <v>-7.9999999999999988E-2</v>
      </c>
      <c r="R78" s="493">
        <f t="shared" si="66"/>
        <v>-0.16980000000000001</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-7.9999999999999988E-2</v>
      </c>
      <c r="AF78" s="493">
        <f t="shared" si="72"/>
        <v>-0.16980000000000001</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5">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5">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25">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25">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25">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5">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5">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25">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5">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5">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5">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25">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25">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5">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5">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5">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613</v>
      </c>
      <c r="AV94" s="88" t="s">
        <v>74</v>
      </c>
      <c r="AW94" s="493">
        <f t="shared" si="89"/>
        <v>0</v>
      </c>
      <c r="AX94" s="493">
        <f t="shared" si="90"/>
        <v>0</v>
      </c>
      <c r="AY94" s="493">
        <f t="shared" si="91"/>
        <v>0.06</v>
      </c>
      <c r="AZ94" s="493">
        <f t="shared" si="92"/>
        <v>0.26912411011296</v>
      </c>
      <c r="BA94" s="493">
        <f t="shared" si="93"/>
        <v>0.06</v>
      </c>
      <c r="BB94" s="493">
        <f t="shared" si="94"/>
        <v>0.26912411011296</v>
      </c>
      <c r="BC94" s="493">
        <f t="shared" si="95"/>
        <v>0</v>
      </c>
      <c r="BD94" s="493">
        <f t="shared" si="96"/>
        <v>0</v>
      </c>
      <c r="BE94" s="493">
        <f>BB94+BD94</f>
        <v>0.26912411011296</v>
      </c>
      <c r="BF94" s="493" t="str">
        <f>IF(BE94&lt;0,BE94,"")</f>
        <v/>
      </c>
    </row>
    <row r="95" spans="1:58" x14ac:dyDescent="0.25">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5">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25">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25">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5">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30" x14ac:dyDescent="0.25">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5">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5">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5">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5">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5">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5">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5">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5">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5">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5">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5">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5">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5">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25">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x14ac:dyDescent="0.25">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25">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5">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5">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25">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5">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25">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5">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5">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5">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5">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5">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5">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5">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9.7699999999999995E-2</v>
      </c>
      <c r="AX130" s="493">
        <f t="shared" si="125"/>
        <v>0.39119999999999994</v>
      </c>
      <c r="AY130" s="493">
        <f t="shared" si="126"/>
        <v>0.1668</v>
      </c>
      <c r="AZ130" s="493">
        <f t="shared" si="127"/>
        <v>0.75115258738239998</v>
      </c>
      <c r="BA130" s="493">
        <f t="shared" si="128"/>
        <v>6.9100000000000009E-2</v>
      </c>
      <c r="BB130" s="493">
        <f t="shared" si="129"/>
        <v>-3.0447412617599978E-2</v>
      </c>
      <c r="BC130" s="493">
        <f t="shared" si="130"/>
        <v>0</v>
      </c>
      <c r="BD130" s="493">
        <f t="shared" si="131"/>
        <v>0</v>
      </c>
      <c r="BE130" s="493">
        <f t="shared" si="123"/>
        <v>-3.0447412617599978E-2</v>
      </c>
      <c r="BF130" s="493">
        <f t="shared" si="124"/>
        <v>-3.0447412617599978E-2</v>
      </c>
    </row>
    <row r="131" spans="1:58" x14ac:dyDescent="0.25">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25">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25">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0.22</v>
      </c>
      <c r="AX133" s="493">
        <f t="shared" si="125"/>
        <v>0.44</v>
      </c>
      <c r="AY133" s="493">
        <f t="shared" si="126"/>
        <v>0.14000000000000001</v>
      </c>
      <c r="AZ133" s="493">
        <f t="shared" si="127"/>
        <v>0.2702</v>
      </c>
      <c r="BA133" s="493">
        <f t="shared" si="128"/>
        <v>-7.9999999999999988E-2</v>
      </c>
      <c r="BB133" s="493">
        <f t="shared" si="129"/>
        <v>-0.16980000000000001</v>
      </c>
      <c r="BC133" s="493">
        <f t="shared" si="130"/>
        <v>0</v>
      </c>
      <c r="BD133" s="493">
        <f t="shared" si="131"/>
        <v>0</v>
      </c>
      <c r="BE133" s="493">
        <f t="shared" si="123"/>
        <v>-0.16980000000000001</v>
      </c>
      <c r="BF133" s="493">
        <f t="shared" si="124"/>
        <v>-0.16980000000000001</v>
      </c>
    </row>
    <row r="134" spans="1:58" x14ac:dyDescent="0.25">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5">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5">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5">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5">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5">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5">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x14ac:dyDescent="0.4">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5">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5">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3.25" x14ac:dyDescent="0.3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x14ac:dyDescent="0.25">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5">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5">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25">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25">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5" x14ac:dyDescent="0.45">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5" x14ac:dyDescent="0.25">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5">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5">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5">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0.13</v>
      </c>
      <c r="AX154" s="493">
        <f>VLOOKUP($AU154,AllHabsSummaryData,10,FALSE)</f>
        <v>0</v>
      </c>
      <c r="AY154" s="493">
        <f>VLOOKUP($AU154,AllHabsSummaryData,15,FALSE)</f>
        <v>0.15</v>
      </c>
      <c r="AZ154" s="493">
        <f>VLOOKUP($AU154,AllHabsSummaryData,16,FALSE)</f>
        <v>0</v>
      </c>
      <c r="BA154" s="493">
        <f>VLOOKUP($AU154,AllHabsSummaryData,17,FALSE)</f>
        <v>1.999999999999999E-2</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5">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5">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25">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5">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x14ac:dyDescent="0.4">
      <c r="A163" s="325" t="s">
        <v>136</v>
      </c>
    </row>
    <row r="166" spans="1:32" ht="23.25" x14ac:dyDescent="0.3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5">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5">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5">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5">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25">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5">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5" zeroHeight="1" x14ac:dyDescent="0.25"/>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825" t="s">
        <v>898</v>
      </c>
      <c r="B1" s="826"/>
      <c r="C1" s="826"/>
      <c r="D1" s="826"/>
      <c r="E1" s="827"/>
      <c r="J1" s="285"/>
      <c r="L1" s="825" t="s">
        <v>899</v>
      </c>
      <c r="M1" s="826"/>
      <c r="N1" s="827"/>
      <c r="P1" s="825" t="s">
        <v>291</v>
      </c>
      <c r="Q1" s="827"/>
    </row>
    <row r="2" spans="1:26" ht="42" customHeight="1" thickBot="1" x14ac:dyDescent="0.4">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x14ac:dyDescent="0.25">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5" x14ac:dyDescent="0.2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30" x14ac:dyDescent="0.25">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5" x14ac:dyDescent="0.25">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 customHeight="1" x14ac:dyDescent="0.25">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 customHeight="1" x14ac:dyDescent="0.25">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 customHeight="1" x14ac:dyDescent="0.25">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25">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5">
      <c r="A11" s="110" t="str">
        <f>'G-1 All Habitats'!B9</f>
        <v>Cropland - Horticulture</v>
      </c>
      <c r="B11" s="543" t="str">
        <f>'G-1 All Habitats'!N9</f>
        <v>Low</v>
      </c>
      <c r="C11" s="543">
        <f>'G-1 All Habitats'!O9</f>
        <v>1</v>
      </c>
      <c r="D11" s="543" t="str">
        <f>'G-1 All Habitats'!P9</f>
        <v>Low</v>
      </c>
      <c r="E11" s="543">
        <f>'G-1 All Habitats'!Q9</f>
        <v>1</v>
      </c>
    </row>
    <row r="12" spans="1:26" x14ac:dyDescent="0.25">
      <c r="A12" s="110" t="str">
        <f>'G-1 All Habitats'!B10</f>
        <v>Cropland - Intensive orchards</v>
      </c>
      <c r="B12" s="543" t="str">
        <f>'G-1 All Habitats'!N10</f>
        <v>Low</v>
      </c>
      <c r="C12" s="543">
        <f>'G-1 All Habitats'!O10</f>
        <v>1</v>
      </c>
      <c r="D12" s="543" t="str">
        <f>'G-1 All Habitats'!P10</f>
        <v>Low</v>
      </c>
      <c r="E12" s="543">
        <f>'G-1 All Habitats'!Q10</f>
        <v>1</v>
      </c>
    </row>
    <row r="13" spans="1:26" x14ac:dyDescent="0.25">
      <c r="A13" s="110" t="str">
        <f>'G-1 All Habitats'!B11</f>
        <v>Cropland - Non-cereal crops</v>
      </c>
      <c r="B13" s="543" t="str">
        <f>'G-1 All Habitats'!N11</f>
        <v>Low</v>
      </c>
      <c r="C13" s="543">
        <f>'G-1 All Habitats'!O11</f>
        <v>1</v>
      </c>
      <c r="D13" s="543" t="str">
        <f>'G-1 All Habitats'!P11</f>
        <v>Low</v>
      </c>
      <c r="E13" s="543">
        <f>'G-1 All Habitats'!Q11</f>
        <v>1</v>
      </c>
    </row>
    <row r="14" spans="1:26" x14ac:dyDescent="0.25">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5">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5">
      <c r="A16" s="110" t="str">
        <f>'G-1 All Habitats'!B14</f>
        <v>Grassland - Bracken</v>
      </c>
      <c r="B16" s="543" t="str">
        <f>'G-1 All Habitats'!N14</f>
        <v>Low</v>
      </c>
      <c r="C16" s="543">
        <f>'G-1 All Habitats'!O14</f>
        <v>1</v>
      </c>
      <c r="D16" s="543" t="str">
        <f>'G-1 All Habitats'!P14</f>
        <v>Low</v>
      </c>
      <c r="E16" s="543">
        <f>'G-1 All Habitats'!Q14</f>
        <v>1</v>
      </c>
    </row>
    <row r="17" spans="1:5" x14ac:dyDescent="0.2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5">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5">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5">
      <c r="A21" s="110" t="str">
        <f>'G-1 All Habitats'!B19</f>
        <v>Grassland - Modified grassland</v>
      </c>
      <c r="B21" s="543" t="str">
        <f>'G-1 All Habitats'!N19</f>
        <v>Low</v>
      </c>
      <c r="C21" s="543">
        <f>'G-1 All Habitats'!O19</f>
        <v>1</v>
      </c>
      <c r="D21" s="543" t="str">
        <f>'G-1 All Habitats'!P19</f>
        <v>Low</v>
      </c>
      <c r="E21" s="543">
        <f>'G-1 All Habitats'!Q19</f>
        <v>1</v>
      </c>
    </row>
    <row r="22" spans="1:5" x14ac:dyDescent="0.25">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5">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5">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5">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5">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5">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5">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5">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5">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5">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5">
      <c r="A32" s="110" t="str">
        <f>'G-1 All Habitats'!B30</f>
        <v>Heathland and shrub - Hazel scrub</v>
      </c>
      <c r="B32" s="543" t="s">
        <v>23</v>
      </c>
      <c r="C32" s="543">
        <f>'G-1 All Habitats'!O30</f>
        <v>1</v>
      </c>
      <c r="D32" s="543" t="s">
        <v>23</v>
      </c>
      <c r="E32" s="543">
        <f>'G-1 All Habitats'!Q30</f>
        <v>1</v>
      </c>
    </row>
    <row r="33" spans="1:5" x14ac:dyDescent="0.2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5">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5">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5">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5">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5">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5">
      <c r="A56" s="110" t="str">
        <f>'G-1 All Habitats'!B42</f>
        <v>Lakes - Marl Lakes</v>
      </c>
      <c r="B56" s="543" t="str">
        <f>'G-1 All Habitats'!N42</f>
        <v>High</v>
      </c>
      <c r="C56" s="543">
        <f>'G-1 All Habitats'!O42</f>
        <v>0.33</v>
      </c>
      <c r="D56" s="543" t="str">
        <f>'G-1 All Habitats'!P42</f>
        <v>High</v>
      </c>
      <c r="E56" s="543">
        <f>'G-1 All Habitats'!Q42</f>
        <v>0.33</v>
      </c>
    </row>
    <row r="57" spans="1:5" x14ac:dyDescent="0.25">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5">
      <c r="A58" s="110" t="str">
        <f>'G-1 All Habitats'!B44</f>
        <v>Lakes - Peat Lakes</v>
      </c>
      <c r="B58" s="543" t="str">
        <f>'G-1 All Habitats'!N44</f>
        <v>High</v>
      </c>
      <c r="C58" s="543">
        <f>'G-1 All Habitats'!O44</f>
        <v>0.33</v>
      </c>
      <c r="D58" s="543" t="str">
        <f>'G-1 All Habitats'!P44</f>
        <v>High</v>
      </c>
      <c r="E58" s="543">
        <f>'G-1 All Habitats'!Q44</f>
        <v>0.33</v>
      </c>
    </row>
    <row r="59" spans="1:5" x14ac:dyDescent="0.25">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5">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5">
      <c r="A61" s="110" t="str">
        <f>'G-1 All Habitats'!B47</f>
        <v>Lakes - Reservoirs</v>
      </c>
      <c r="B61" s="543" t="str">
        <f>'G-1 All Habitats'!N47</f>
        <v>Medium</v>
      </c>
      <c r="C61" s="543">
        <f>'G-1 All Habitats'!O47</f>
        <v>0.67</v>
      </c>
      <c r="D61" s="543" t="str">
        <f>'G-1 All Habitats'!P47</f>
        <v>Medium</v>
      </c>
      <c r="E61" s="543">
        <f>'G-1 All Habitats'!Q47</f>
        <v>0.67</v>
      </c>
    </row>
    <row r="62" spans="1:5" x14ac:dyDescent="0.2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5">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5">
      <c r="A80" s="110" t="str">
        <f>'G-1 All Habitats'!B57</f>
        <v>Urban - Allotments</v>
      </c>
      <c r="B80" s="543" t="str">
        <f>'G-1 All Habitats'!N57</f>
        <v>Low</v>
      </c>
      <c r="C80" s="543">
        <f>'G-1 All Habitats'!O57</f>
        <v>1</v>
      </c>
      <c r="D80" s="543" t="str">
        <f>'G-1 All Habitats'!P57</f>
        <v>Low</v>
      </c>
      <c r="E80" s="543">
        <f>'G-1 All Habitats'!Q57</f>
        <v>1</v>
      </c>
    </row>
    <row r="81" spans="1:5" x14ac:dyDescent="0.2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5">
      <c r="A82" s="110" t="str">
        <f>'G-1 All Habitats'!B59</f>
        <v>Urban - Bioswale</v>
      </c>
      <c r="B82" s="543" t="str">
        <f>'G-1 All Habitats'!N59</f>
        <v>Medium</v>
      </c>
      <c r="C82" s="543">
        <f>'G-1 All Habitats'!O59</f>
        <v>0.67</v>
      </c>
      <c r="D82" s="543" t="str">
        <f>'G-1 All Habitats'!P59</f>
        <v>Low</v>
      </c>
      <c r="E82" s="543">
        <f>'G-1 All Habitats'!Q59</f>
        <v>1</v>
      </c>
    </row>
    <row r="83" spans="1:5" x14ac:dyDescent="0.25">
      <c r="A83" s="110" t="str">
        <f>'G-1 All Habitats'!B60</f>
        <v>Urban - Intensive green roof</v>
      </c>
      <c r="B83" s="543" t="str">
        <f>'G-1 All Habitats'!N60</f>
        <v>Low</v>
      </c>
      <c r="C83" s="543">
        <f>'G-1 All Habitats'!O60</f>
        <v>1</v>
      </c>
      <c r="D83" s="543" t="str">
        <f>'G-1 All Habitats'!P60</f>
        <v>Low</v>
      </c>
      <c r="E83" s="543">
        <f>'G-1 All Habitats'!Q60</f>
        <v>1</v>
      </c>
    </row>
    <row r="84" spans="1:5" x14ac:dyDescent="0.25">
      <c r="A84" s="110" t="str">
        <f>'G-1 All Habitats'!B61</f>
        <v>Urban - Built linear features</v>
      </c>
      <c r="B84" s="543" t="str">
        <f>'G-1 All Habitats'!N61</f>
        <v>Low</v>
      </c>
      <c r="C84" s="543">
        <f>'G-1 All Habitats'!O61</f>
        <v>1</v>
      </c>
      <c r="D84" s="543" t="str">
        <f>'G-1 All Habitats'!P61</f>
        <v>Low</v>
      </c>
      <c r="E84" s="543">
        <f>'G-1 All Habitats'!Q61</f>
        <v>1</v>
      </c>
    </row>
    <row r="85" spans="1:5" x14ac:dyDescent="0.25">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5">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5">
      <c r="A87" s="110" t="str">
        <f>'G-1 All Habitats'!B64</f>
        <v>Urban - Other green roof</v>
      </c>
      <c r="B87" s="543" t="str">
        <f>'G-1 All Habitats'!N64</f>
        <v>Low</v>
      </c>
      <c r="C87" s="543">
        <f>'G-1 All Habitats'!O64</f>
        <v>1</v>
      </c>
      <c r="D87" s="543" t="str">
        <f>'G-1 All Habitats'!P64</f>
        <v>Low</v>
      </c>
      <c r="E87" s="543">
        <f>'G-1 All Habitats'!Q64</f>
        <v>1</v>
      </c>
    </row>
    <row r="88" spans="1:5" x14ac:dyDescent="0.25">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5">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5">
      <c r="A90" s="110" t="str">
        <f>'G-1 All Habitats'!B67</f>
        <v>Urban - Ground level planters</v>
      </c>
      <c r="B90" s="543" t="str">
        <f>'G-1 All Habitats'!N67</f>
        <v>Low</v>
      </c>
      <c r="C90" s="543">
        <f>'G-1 All Habitats'!O67</f>
        <v>1</v>
      </c>
      <c r="D90" s="543" t="str">
        <f>'G-1 All Habitats'!P67</f>
        <v>Low</v>
      </c>
      <c r="E90" s="543">
        <f>'G-1 All Habitats'!Q67</f>
        <v>1</v>
      </c>
    </row>
    <row r="91" spans="1:5" x14ac:dyDescent="0.25">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5">
      <c r="A92" s="110" t="str">
        <f>'G-1 All Habitats'!B69</f>
        <v>Urban - Introduced shrub</v>
      </c>
      <c r="B92" s="543" t="str">
        <f>'G-1 All Habitats'!N69</f>
        <v>Low</v>
      </c>
      <c r="C92" s="543">
        <f>'G-1 All Habitats'!O69</f>
        <v>1</v>
      </c>
      <c r="D92" s="543" t="str">
        <f>'G-1 All Habitats'!P69</f>
        <v>Low</v>
      </c>
      <c r="E92" s="543">
        <f>'G-1 All Habitats'!Q69</f>
        <v>1</v>
      </c>
    </row>
    <row r="93" spans="1:5" x14ac:dyDescent="0.2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5">
      <c r="A94" s="110" t="str">
        <f>'G-1 All Habitats'!B71</f>
        <v>Urban - Rain garden</v>
      </c>
      <c r="B94" s="543" t="str">
        <f>'G-1 All Habitats'!N71</f>
        <v>Low</v>
      </c>
      <c r="C94" s="543">
        <f>'G-1 All Habitats'!O71</f>
        <v>1</v>
      </c>
      <c r="D94" s="543" t="str">
        <f>'G-1 All Habitats'!P71</f>
        <v>Low</v>
      </c>
      <c r="E94" s="543">
        <f>'G-1 All Habitats'!Q71</f>
        <v>1</v>
      </c>
    </row>
    <row r="95" spans="1:5" x14ac:dyDescent="0.2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5">
      <c r="A96" s="110" t="str">
        <f>'G-1 All Habitats'!B73</f>
        <v>Urban - Urban Tree</v>
      </c>
      <c r="B96" s="543" t="str">
        <f>'G-1 All Habitats'!N73</f>
        <v>Low</v>
      </c>
      <c r="C96" s="543">
        <f>'G-1 All Habitats'!O73</f>
        <v>1</v>
      </c>
      <c r="D96" s="543" t="str">
        <f>'G-1 All Habitats'!P73</f>
        <v>Low</v>
      </c>
      <c r="E96" s="543">
        <f>'G-1 All Habitats'!Q73</f>
        <v>1</v>
      </c>
    </row>
    <row r="97" spans="1:5" x14ac:dyDescent="0.2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5">
      <c r="A98" s="110" t="str">
        <f>'G-1 All Habitats'!B75</f>
        <v>Urban - Un-vegetated garden</v>
      </c>
      <c r="B98" s="543" t="str">
        <f>'G-1 All Habitats'!N75</f>
        <v>Low</v>
      </c>
      <c r="C98" s="543">
        <f>'G-1 All Habitats'!O75</f>
        <v>1</v>
      </c>
      <c r="D98" s="543" t="str">
        <f>'G-1 All Habitats'!P75</f>
        <v>Low</v>
      </c>
      <c r="E98" s="543">
        <f>'G-1 All Habitats'!Q75</f>
        <v>1</v>
      </c>
    </row>
    <row r="99" spans="1:5" x14ac:dyDescent="0.25">
      <c r="A99" s="110" t="str">
        <f>'G-1 All Habitats'!B77</f>
        <v>Urban - Vegetated garden</v>
      </c>
      <c r="B99" s="543" t="str">
        <f>'G-1 All Habitats'!N77</f>
        <v>Low</v>
      </c>
      <c r="C99" s="543">
        <f>'G-1 All Habitats'!O77</f>
        <v>1</v>
      </c>
      <c r="D99" s="543" t="str">
        <f>'G-1 All Habitats'!P77</f>
        <v>Low</v>
      </c>
      <c r="E99" s="543">
        <f>'G-1 All Habitats'!Q77</f>
        <v>1</v>
      </c>
    </row>
    <row r="100" spans="1:5" x14ac:dyDescent="0.25">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5">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5">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5">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5">
      <c r="A108" s="110" t="str">
        <f>'G-1 All Habitats'!B86</f>
        <v>Woodland and forest - Felled</v>
      </c>
      <c r="B108" s="543" t="s">
        <v>153</v>
      </c>
      <c r="C108" s="543">
        <f>'G-1 All Habitats'!O86</f>
        <v>1</v>
      </c>
      <c r="D108" s="543" t="str">
        <f>'G-1 All Habitats'!P86</f>
        <v>Low</v>
      </c>
      <c r="E108" s="543">
        <f>'G-1 All Habitats'!Q86</f>
        <v>1</v>
      </c>
    </row>
    <row r="109" spans="1:5" x14ac:dyDescent="0.2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5"/>
    <row r="131" spans="1:5" x14ac:dyDescent="0.25"/>
    <row r="132" spans="1:5" x14ac:dyDescent="0.25"/>
    <row r="133" spans="1:5" x14ac:dyDescent="0.25"/>
    <row r="134" spans="1:5" x14ac:dyDescent="0.25"/>
    <row r="135" spans="1:5" x14ac:dyDescent="0.25"/>
    <row r="136" spans="1:5" x14ac:dyDescent="0.25"/>
    <row r="137" spans="1:5" x14ac:dyDescent="0.25"/>
    <row r="138" spans="1:5" x14ac:dyDescent="0.25"/>
    <row r="139" spans="1:5" x14ac:dyDescent="0.25"/>
    <row r="140" spans="1:5" x14ac:dyDescent="0.25"/>
    <row r="141" spans="1:5" x14ac:dyDescent="0.25"/>
    <row r="142" spans="1:5" x14ac:dyDescent="0.2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4"/>
      <c r="H10" s="714"/>
      <c r="I10" s="714"/>
      <c r="J10" s="714"/>
      <c r="K10" s="714"/>
      <c r="L10" s="714"/>
      <c r="M10" s="714"/>
      <c r="N10" s="714"/>
      <c r="O10" s="71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5" zeroHeight="1" x14ac:dyDescent="0.25"/>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2"/>
      <c r="B1" s="1052"/>
      <c r="C1" s="1052"/>
      <c r="F1" s="280"/>
      <c r="G1" s="280"/>
      <c r="H1" s="280"/>
      <c r="I1" s="280"/>
      <c r="J1" s="280"/>
      <c r="K1" s="280"/>
      <c r="L1" s="280"/>
      <c r="M1" s="280"/>
    </row>
    <row r="2" spans="1:13" ht="29.45" customHeight="1" x14ac:dyDescent="0.4">
      <c r="A2" s="1051" t="s">
        <v>929</v>
      </c>
      <c r="B2" s="1051"/>
      <c r="C2" s="1051"/>
      <c r="F2" s="281"/>
      <c r="G2" s="1053" t="s">
        <v>930</v>
      </c>
      <c r="H2" s="1053"/>
      <c r="I2" s="1053"/>
      <c r="J2" s="1053"/>
      <c r="K2" s="1053"/>
      <c r="L2" s="1053"/>
      <c r="M2" s="1054"/>
    </row>
    <row r="3" spans="1:13" ht="30" x14ac:dyDescent="0.25">
      <c r="A3" s="103" t="s">
        <v>931</v>
      </c>
      <c r="B3" s="103" t="s">
        <v>932</v>
      </c>
      <c r="C3" s="103" t="s">
        <v>933</v>
      </c>
      <c r="F3" s="282" t="s">
        <v>820</v>
      </c>
      <c r="G3" s="104" t="s">
        <v>21</v>
      </c>
      <c r="H3" s="104" t="s">
        <v>382</v>
      </c>
      <c r="I3" s="104" t="s">
        <v>20</v>
      </c>
      <c r="J3" s="104" t="s">
        <v>393</v>
      </c>
      <c r="K3" s="130" t="s">
        <v>242</v>
      </c>
      <c r="L3" s="130" t="s">
        <v>403</v>
      </c>
      <c r="M3" s="104" t="s">
        <v>407</v>
      </c>
    </row>
    <row r="4" spans="1:13" x14ac:dyDescent="0.25">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25">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25">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25">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25">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25">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25">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25">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25">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25">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25">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25">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25">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25">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25">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25">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25">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25">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25">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25">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25">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25">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25">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25">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25">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25">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25">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25">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25">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25">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25">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25">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25">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25">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25">
      <c r="A38" s="42"/>
      <c r="B38" s="42"/>
      <c r="C38" s="42"/>
      <c r="F38" s="88" t="str">
        <f>'G-1 All Habitats'!B37</f>
        <v>Heathland and shrub - Upland Heathland</v>
      </c>
      <c r="G38" s="543">
        <v>30</v>
      </c>
      <c r="H38" s="543">
        <v>25</v>
      </c>
      <c r="I38" s="543">
        <v>20</v>
      </c>
      <c r="J38" s="543">
        <v>15</v>
      </c>
      <c r="K38" s="543">
        <v>10</v>
      </c>
      <c r="L38" s="543" t="s">
        <v>934</v>
      </c>
      <c r="M38" s="543" t="s">
        <v>934</v>
      </c>
    </row>
    <row r="39" spans="1:13" ht="43.5" x14ac:dyDescent="0.25">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25">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25">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25">
      <c r="A42" s="543">
        <v>1</v>
      </c>
      <c r="B42" s="42"/>
      <c r="C42" s="42"/>
      <c r="F42" s="88" t="str">
        <f>'G-1 All Habitats'!B42</f>
        <v>Lakes - Marl Lakes</v>
      </c>
      <c r="G42" s="543">
        <v>30</v>
      </c>
      <c r="H42" s="543">
        <v>20</v>
      </c>
      <c r="I42" s="543">
        <v>10</v>
      </c>
      <c r="J42" s="543">
        <v>7</v>
      </c>
      <c r="K42" s="543">
        <v>5</v>
      </c>
      <c r="L42" s="543" t="s">
        <v>934</v>
      </c>
      <c r="M42" s="543" t="s">
        <v>934</v>
      </c>
    </row>
    <row r="43" spans="1:13" x14ac:dyDescent="0.25">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25">
      <c r="A44" s="543">
        <v>3</v>
      </c>
      <c r="B44" s="42"/>
      <c r="C44" s="42"/>
      <c r="F44" s="88" t="str">
        <f>'G-1 All Habitats'!B44</f>
        <v>Lakes - Peat Lakes</v>
      </c>
      <c r="G44" s="543">
        <v>30</v>
      </c>
      <c r="H44" s="543">
        <v>20</v>
      </c>
      <c r="I44" s="543">
        <v>10</v>
      </c>
      <c r="J44" s="543">
        <v>7</v>
      </c>
      <c r="K44" s="543">
        <v>5</v>
      </c>
      <c r="L44" s="543" t="s">
        <v>934</v>
      </c>
      <c r="M44" s="543" t="s">
        <v>934</v>
      </c>
    </row>
    <row r="45" spans="1:13" x14ac:dyDescent="0.25">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25">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25">
      <c r="A47" s="543">
        <v>6</v>
      </c>
      <c r="B47" s="42"/>
      <c r="C47" s="42"/>
      <c r="F47" s="88" t="str">
        <f>'G-1 All Habitats'!B47</f>
        <v>Lakes - Reservoirs</v>
      </c>
      <c r="G47" s="543">
        <v>10</v>
      </c>
      <c r="H47" s="543">
        <v>7</v>
      </c>
      <c r="I47" s="543">
        <v>5</v>
      </c>
      <c r="J47" s="543">
        <v>3</v>
      </c>
      <c r="K47" s="543">
        <v>1</v>
      </c>
      <c r="L47" s="543" t="s">
        <v>934</v>
      </c>
      <c r="M47" s="543" t="s">
        <v>934</v>
      </c>
    </row>
    <row r="48" spans="1:13" x14ac:dyDescent="0.25">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25">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25">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25">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25">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25">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25">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25">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25">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25">
      <c r="A57" s="543">
        <v>16</v>
      </c>
      <c r="B57" s="42"/>
      <c r="C57" s="42"/>
      <c r="F57" s="88" t="str">
        <f>'G-1 All Habitats'!B57</f>
        <v>Urban - Allotments</v>
      </c>
      <c r="G57" s="543">
        <v>1</v>
      </c>
      <c r="H57" s="543">
        <v>1</v>
      </c>
      <c r="I57" s="543">
        <v>1</v>
      </c>
      <c r="J57" s="543">
        <v>1</v>
      </c>
      <c r="K57" s="543">
        <v>1</v>
      </c>
      <c r="L57" s="543" t="s">
        <v>934</v>
      </c>
      <c r="M57" s="543" t="s">
        <v>934</v>
      </c>
    </row>
    <row r="58" spans="1:13" x14ac:dyDescent="0.25">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25">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25">
      <c r="A60" s="543">
        <v>19</v>
      </c>
      <c r="B60" s="42"/>
      <c r="C60" s="42"/>
      <c r="F60" s="88" t="str">
        <f>'G-1 All Habitats'!B59</f>
        <v>Urban - Bioswale</v>
      </c>
      <c r="G60" s="543">
        <v>3</v>
      </c>
      <c r="H60" s="543">
        <v>2</v>
      </c>
      <c r="I60" s="543">
        <v>1</v>
      </c>
      <c r="J60" s="543">
        <v>1</v>
      </c>
      <c r="K60" s="543">
        <v>1</v>
      </c>
      <c r="L60" s="543" t="s">
        <v>934</v>
      </c>
      <c r="M60" s="543" t="s">
        <v>934</v>
      </c>
    </row>
    <row r="61" spans="1:13" x14ac:dyDescent="0.25">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25">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25">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25">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25">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25">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25">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25">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25">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25">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25">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25">
      <c r="A72" s="543" t="s">
        <v>935</v>
      </c>
      <c r="B72" s="42"/>
      <c r="C72" s="42"/>
      <c r="F72" s="88" t="str">
        <f>'G-1 All Habitats'!B71</f>
        <v>Urban - Rain garden</v>
      </c>
      <c r="G72" s="543">
        <v>5</v>
      </c>
      <c r="H72" s="543">
        <v>4</v>
      </c>
      <c r="I72" s="543">
        <v>3</v>
      </c>
      <c r="J72" s="543">
        <v>2</v>
      </c>
      <c r="K72" s="543">
        <v>1</v>
      </c>
      <c r="L72" s="543" t="s">
        <v>934</v>
      </c>
      <c r="M72" s="543" t="s">
        <v>934</v>
      </c>
    </row>
    <row r="73" spans="1:13" x14ac:dyDescent="0.25">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25">
      <c r="A74" s="42"/>
      <c r="B74" s="42"/>
      <c r="C74" s="42"/>
      <c r="F74" s="88" t="str">
        <f>'G-1 All Habitats'!B73</f>
        <v>Urban - Urban Tree</v>
      </c>
      <c r="G74" s="543" t="s">
        <v>935</v>
      </c>
      <c r="H74" s="543" t="s">
        <v>935</v>
      </c>
      <c r="I74" s="543">
        <v>27</v>
      </c>
      <c r="J74" s="543">
        <v>15</v>
      </c>
      <c r="K74" s="543">
        <v>10</v>
      </c>
      <c r="L74" s="543" t="s">
        <v>934</v>
      </c>
      <c r="M74" s="543" t="s">
        <v>934</v>
      </c>
    </row>
    <row r="75" spans="1:13" x14ac:dyDescent="0.25">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25">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25">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25">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25">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25">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25">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25">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25">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25">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25">
      <c r="A85" s="42"/>
      <c r="B85" s="42"/>
      <c r="C85" s="42"/>
      <c r="F85" s="88" t="str">
        <f>'G-1 All Habitats'!B84</f>
        <v>Wetland - Reedbeds</v>
      </c>
      <c r="G85" s="543">
        <v>12</v>
      </c>
      <c r="H85" s="543">
        <v>10</v>
      </c>
      <c r="I85" s="543">
        <v>7</v>
      </c>
      <c r="J85" s="543">
        <v>5</v>
      </c>
      <c r="K85" s="543">
        <v>3</v>
      </c>
      <c r="L85" s="543" t="s">
        <v>934</v>
      </c>
      <c r="M85" s="543" t="s">
        <v>934</v>
      </c>
    </row>
    <row r="86" spans="1:13" x14ac:dyDescent="0.25">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25">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25">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25">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25">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25">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25">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25">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25">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25">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25">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25">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25">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25">
      <c r="F99" s="88" t="str">
        <f>'G-1 All Habitats'!B98</f>
        <v>Woodland and forest - Wood-pasture and parkland</v>
      </c>
      <c r="G99" s="543" t="s">
        <v>935</v>
      </c>
      <c r="H99" s="543" t="s">
        <v>935</v>
      </c>
      <c r="I99" s="543" t="s">
        <v>935</v>
      </c>
      <c r="J99" s="543">
        <v>25</v>
      </c>
      <c r="K99" s="543">
        <v>10</v>
      </c>
      <c r="L99" s="543" t="s">
        <v>934</v>
      </c>
      <c r="M99" s="543" t="s">
        <v>934</v>
      </c>
    </row>
    <row r="100" spans="1:13" x14ac:dyDescent="0.25">
      <c r="F100" s="88" t="str">
        <f>'G-1 All Habitats'!B99</f>
        <v>Coastal lagoons - Coastal lagoons</v>
      </c>
      <c r="G100" s="543">
        <v>10</v>
      </c>
      <c r="H100" s="543">
        <v>8</v>
      </c>
      <c r="I100" s="543">
        <v>5</v>
      </c>
      <c r="J100" s="543">
        <v>3</v>
      </c>
      <c r="K100" s="543">
        <v>1</v>
      </c>
      <c r="L100" s="543" t="s">
        <v>934</v>
      </c>
      <c r="M100" s="543" t="s">
        <v>934</v>
      </c>
    </row>
    <row r="101" spans="1:13" x14ac:dyDescent="0.25">
      <c r="F101" s="88" t="str">
        <f>'G-1 All Habitats'!B100</f>
        <v>Rocky shore - High energy littoral rock</v>
      </c>
      <c r="G101" s="543">
        <v>10</v>
      </c>
      <c r="H101" s="543">
        <v>7</v>
      </c>
      <c r="I101" s="543">
        <v>4</v>
      </c>
      <c r="J101" s="543">
        <v>2</v>
      </c>
      <c r="K101" s="543">
        <v>1</v>
      </c>
      <c r="L101" s="543" t="s">
        <v>934</v>
      </c>
      <c r="M101" s="543" t="s">
        <v>934</v>
      </c>
    </row>
    <row r="102" spans="1:13" x14ac:dyDescent="0.25">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25">
      <c r="F103" s="88" t="str">
        <f>'G-1 All Habitats'!B102</f>
        <v>Rocky shore - Moderate energy littoral rock</v>
      </c>
      <c r="G103" s="543">
        <v>13</v>
      </c>
      <c r="H103" s="543">
        <v>8</v>
      </c>
      <c r="I103" s="543">
        <v>4</v>
      </c>
      <c r="J103" s="543">
        <v>2</v>
      </c>
      <c r="K103" s="543">
        <v>1</v>
      </c>
      <c r="L103" s="543" t="s">
        <v>934</v>
      </c>
      <c r="M103" s="543" t="s">
        <v>934</v>
      </c>
    </row>
    <row r="104" spans="1:13" x14ac:dyDescent="0.25">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25">
      <c r="F105" s="88" t="str">
        <f>'G-1 All Habitats'!B104</f>
        <v>Rocky shore - Low energy littoral rock</v>
      </c>
      <c r="G105" s="543">
        <v>15</v>
      </c>
      <c r="H105" s="543">
        <v>10</v>
      </c>
      <c r="I105" s="543">
        <v>5</v>
      </c>
      <c r="J105" s="543">
        <v>1</v>
      </c>
      <c r="K105" s="543">
        <v>1</v>
      </c>
      <c r="L105" s="543" t="s">
        <v>934</v>
      </c>
      <c r="M105" s="543" t="s">
        <v>934</v>
      </c>
    </row>
    <row r="106" spans="1:13" x14ac:dyDescent="0.25">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25">
      <c r="F107" s="88" t="str">
        <f>'G-1 All Habitats'!B106</f>
        <v>Rocky shore - Features of littoral rock</v>
      </c>
      <c r="G107" s="543">
        <v>13</v>
      </c>
      <c r="H107" s="543">
        <v>8</v>
      </c>
      <c r="I107" s="543">
        <v>4</v>
      </c>
      <c r="J107" s="543">
        <v>2</v>
      </c>
      <c r="K107" s="543">
        <v>1</v>
      </c>
      <c r="L107" s="543" t="s">
        <v>934</v>
      </c>
      <c r="M107" s="543" t="s">
        <v>934</v>
      </c>
    </row>
    <row r="108" spans="1:13" x14ac:dyDescent="0.25">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25">
      <c r="F109" s="88" t="str">
        <f>'G-1 All Habitats'!B110</f>
        <v>Intertidal sediment - Littoral coarse sediment</v>
      </c>
      <c r="G109" s="543">
        <v>3</v>
      </c>
      <c r="H109" s="543">
        <v>2</v>
      </c>
      <c r="I109" s="543">
        <v>1</v>
      </c>
      <c r="J109" s="543">
        <v>1</v>
      </c>
      <c r="K109" s="543">
        <v>1</v>
      </c>
      <c r="L109" s="543" t="s">
        <v>934</v>
      </c>
      <c r="M109" s="543" t="s">
        <v>934</v>
      </c>
    </row>
    <row r="110" spans="1:13" x14ac:dyDescent="0.25">
      <c r="F110" s="88" t="str">
        <f>'G-1 All Habitats'!B111</f>
        <v>Intertidal sediment - Littoral mud</v>
      </c>
      <c r="G110" s="543">
        <v>6</v>
      </c>
      <c r="H110" s="543">
        <v>4</v>
      </c>
      <c r="I110" s="543">
        <v>3</v>
      </c>
      <c r="J110" s="543">
        <v>2</v>
      </c>
      <c r="K110" s="543">
        <v>1</v>
      </c>
      <c r="L110" s="543" t="s">
        <v>934</v>
      </c>
      <c r="M110" s="543" t="s">
        <v>934</v>
      </c>
    </row>
    <row r="111" spans="1:13" x14ac:dyDescent="0.25">
      <c r="F111" s="88" t="str">
        <f>'G-1 All Habitats'!B112</f>
        <v>Intertidal sediment - Littoral mixed sediments</v>
      </c>
      <c r="G111" s="543">
        <v>5</v>
      </c>
      <c r="H111" s="543">
        <v>4</v>
      </c>
      <c r="I111" s="543">
        <v>3</v>
      </c>
      <c r="J111" s="543">
        <v>2</v>
      </c>
      <c r="K111" s="543">
        <v>1</v>
      </c>
      <c r="L111" s="543" t="s">
        <v>934</v>
      </c>
      <c r="M111" s="543" t="s">
        <v>934</v>
      </c>
    </row>
    <row r="112" spans="1:13" x14ac:dyDescent="0.25">
      <c r="F112" s="88" t="str">
        <f>'G-1 All Habitats'!B108</f>
        <v>Coastal saltmarsh - Saltmarshes and saline reedbeds</v>
      </c>
      <c r="G112" s="543">
        <v>15</v>
      </c>
      <c r="H112" s="543">
        <v>10</v>
      </c>
      <c r="I112" s="543">
        <v>7</v>
      </c>
      <c r="J112" s="543">
        <v>3</v>
      </c>
      <c r="K112" s="543">
        <v>1</v>
      </c>
      <c r="L112" s="543" t="s">
        <v>934</v>
      </c>
      <c r="M112" s="543" t="s">
        <v>934</v>
      </c>
    </row>
    <row r="113" spans="6:13" x14ac:dyDescent="0.25">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25">
      <c r="F114" s="88" t="str">
        <f>'G-1 All Habitats'!B113</f>
        <v>Intertidal sediment - Littoral seagrass</v>
      </c>
      <c r="G114" s="543">
        <v>20</v>
      </c>
      <c r="H114" s="543">
        <v>15</v>
      </c>
      <c r="I114" s="543">
        <v>10</v>
      </c>
      <c r="J114" s="543">
        <v>5</v>
      </c>
      <c r="K114" s="543">
        <v>2</v>
      </c>
      <c r="L114" s="543" t="s">
        <v>934</v>
      </c>
      <c r="M114" s="543" t="s">
        <v>934</v>
      </c>
    </row>
    <row r="115" spans="6:13" x14ac:dyDescent="0.25">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25">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25">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25">
      <c r="F118" s="88" t="str">
        <f>'G-1 All Habitats'!B117</f>
        <v>Intertidal sediment - Features of littoral sediment</v>
      </c>
      <c r="G118" s="543">
        <v>10</v>
      </c>
      <c r="H118" s="543">
        <v>7</v>
      </c>
      <c r="I118" s="543">
        <v>5</v>
      </c>
      <c r="J118" s="543">
        <v>3</v>
      </c>
      <c r="K118" s="543">
        <v>3</v>
      </c>
      <c r="L118" s="543" t="s">
        <v>934</v>
      </c>
      <c r="M118" s="543" t="s">
        <v>934</v>
      </c>
    </row>
    <row r="119" spans="6:13" x14ac:dyDescent="0.25">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25">
      <c r="F120" s="88" t="str">
        <f>'G-1 All Habitats'!B119</f>
        <v>Intertidal sediment - Artificial littoral mud</v>
      </c>
      <c r="G120" s="543">
        <v>6</v>
      </c>
      <c r="H120" s="543">
        <v>4</v>
      </c>
      <c r="I120" s="543">
        <v>3</v>
      </c>
      <c r="J120" s="543">
        <v>2</v>
      </c>
      <c r="K120" s="543">
        <v>1</v>
      </c>
      <c r="L120" s="543" t="s">
        <v>934</v>
      </c>
      <c r="M120" s="543" t="s">
        <v>934</v>
      </c>
    </row>
    <row r="121" spans="6:13" x14ac:dyDescent="0.25">
      <c r="F121" s="88" t="str">
        <f>'G-1 All Habitats'!B120</f>
        <v>Intertidal sediment - Artificial littoral sand</v>
      </c>
      <c r="G121" s="543">
        <v>4</v>
      </c>
      <c r="H121" s="543">
        <v>2</v>
      </c>
      <c r="I121" s="543">
        <v>1</v>
      </c>
      <c r="J121" s="543">
        <v>1</v>
      </c>
      <c r="K121" s="543">
        <v>1</v>
      </c>
      <c r="L121" s="543" t="s">
        <v>934</v>
      </c>
      <c r="M121" s="543" t="s">
        <v>934</v>
      </c>
    </row>
    <row r="122" spans="6:13" x14ac:dyDescent="0.25">
      <c r="F122" s="88" t="str">
        <f>'G-1 All Habitats'!B121</f>
        <v>Intertidal sediment - Artificial littoral muddy sand</v>
      </c>
      <c r="G122" s="543">
        <v>5</v>
      </c>
      <c r="H122" s="543">
        <v>4</v>
      </c>
      <c r="I122" s="543">
        <v>3</v>
      </c>
      <c r="J122" s="543">
        <v>2</v>
      </c>
      <c r="K122" s="543">
        <v>1</v>
      </c>
      <c r="L122" s="543" t="s">
        <v>934</v>
      </c>
      <c r="M122" s="543" t="s">
        <v>934</v>
      </c>
    </row>
    <row r="123" spans="6:13" x14ac:dyDescent="0.25">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25">
      <c r="F124" s="88" t="str">
        <f>'G-1 All Habitats'!B123</f>
        <v>Intertidal sediment - Artificial littoral seagrass</v>
      </c>
      <c r="G124" s="543">
        <v>20</v>
      </c>
      <c r="H124" s="543">
        <v>15</v>
      </c>
      <c r="I124" s="543">
        <v>10</v>
      </c>
      <c r="J124" s="543">
        <v>5</v>
      </c>
      <c r="K124" s="543">
        <v>2</v>
      </c>
      <c r="L124" s="543" t="s">
        <v>934</v>
      </c>
      <c r="M124" s="543" t="s">
        <v>934</v>
      </c>
    </row>
    <row r="125" spans="6:13" x14ac:dyDescent="0.25">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25">
      <c r="F126" s="88" t="str">
        <f>'G-1 All Habitats'!B125</f>
        <v>Intertidal sediment - Littoral sand</v>
      </c>
      <c r="G126" s="543">
        <v>4</v>
      </c>
      <c r="H126" s="543">
        <v>2</v>
      </c>
      <c r="I126" s="543">
        <v>1</v>
      </c>
      <c r="J126" s="543">
        <v>1</v>
      </c>
      <c r="K126" s="543">
        <v>1</v>
      </c>
      <c r="L126" s="543" t="s">
        <v>934</v>
      </c>
      <c r="M126" s="543" t="s">
        <v>934</v>
      </c>
    </row>
    <row r="127" spans="6:13" x14ac:dyDescent="0.25">
      <c r="F127" s="88" t="str">
        <f>'G-1 All Habitats'!B126</f>
        <v>Intertidal sediment - Littoral muddy sand</v>
      </c>
      <c r="G127" s="543">
        <v>5</v>
      </c>
      <c r="H127" s="543">
        <v>4</v>
      </c>
      <c r="I127" s="543">
        <v>3</v>
      </c>
      <c r="J127" s="543">
        <v>2</v>
      </c>
      <c r="K127" s="543">
        <v>1</v>
      </c>
      <c r="L127" s="543" t="s">
        <v>934</v>
      </c>
      <c r="M127" s="543" t="s">
        <v>934</v>
      </c>
    </row>
    <row r="128" spans="6:13" x14ac:dyDescent="0.25">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25">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25">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25"/>
    <row r="132" spans="6:13" x14ac:dyDescent="0.25"/>
    <row r="133" spans="6:13" x14ac:dyDescent="0.25"/>
    <row r="134" spans="6:13" x14ac:dyDescent="0.25"/>
    <row r="135" spans="6:13" x14ac:dyDescent="0.25"/>
    <row r="136" spans="6:13" x14ac:dyDescent="0.25"/>
    <row r="137" spans="6:13" x14ac:dyDescent="0.25"/>
    <row r="138" spans="6:13" x14ac:dyDescent="0.25"/>
    <row r="139" spans="6:13" x14ac:dyDescent="0.25"/>
    <row r="140" spans="6:13" x14ac:dyDescent="0.25"/>
    <row r="141" spans="6:13" x14ac:dyDescent="0.25"/>
    <row r="142" spans="6:13" x14ac:dyDescent="0.25"/>
    <row r="143" spans="6:13" x14ac:dyDescent="0.25"/>
    <row r="144" spans="6:13" x14ac:dyDescent="0.25"/>
    <row r="145" x14ac:dyDescent="0.25"/>
    <row r="146" x14ac:dyDescent="0.25"/>
    <row r="147" x14ac:dyDescent="0.25"/>
    <row r="148" x14ac:dyDescent="0.25"/>
    <row r="149" x14ac:dyDescent="0.25"/>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5" zeroHeight="1" x14ac:dyDescent="0.25"/>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5">
      <c r="D1" s="31"/>
      <c r="E1" s="31"/>
      <c r="F1" s="31"/>
      <c r="G1" s="31"/>
      <c r="H1" s="31"/>
      <c r="I1" s="31"/>
      <c r="J1" s="31"/>
      <c r="K1" s="31"/>
      <c r="L1" s="31"/>
      <c r="M1" s="31"/>
      <c r="N1" s="31"/>
      <c r="O1" s="31"/>
      <c r="P1" s="31"/>
      <c r="Q1" s="31"/>
      <c r="R1" s="31"/>
      <c r="S1" s="31"/>
      <c r="T1" s="31"/>
      <c r="U1" s="31"/>
      <c r="V1" s="31"/>
      <c r="W1" s="31"/>
      <c r="X1" s="31"/>
      <c r="Y1" s="31"/>
    </row>
    <row r="2" spans="3:25" ht="45" x14ac:dyDescent="0.25">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x14ac:dyDescent="0.25">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5">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5">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25">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25">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25">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25">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25">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25">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25">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25">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25">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25">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25">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25">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25">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25">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25">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25">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25">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25">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25">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25">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25">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25">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25">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25">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25">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25">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25">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25">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25">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25">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25">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25">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25">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25">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25">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25">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25">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25">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25">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25">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25">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25">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25">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25">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25">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25">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25">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25">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25">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25">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25">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25">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25">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25">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25">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25">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25">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25">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25">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25">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25">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25">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25">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25">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25">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25">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25">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25">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25">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25">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25">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25">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25">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25">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25">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25">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25">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25">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25">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25">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25">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25">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25">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25">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25">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25">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25">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25">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25">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25">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25">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25">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25">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25">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25">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25">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25">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25">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25">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25">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25">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25">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25">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25">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25">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25">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25">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25">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25">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25">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25">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25">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25">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25">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25">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25">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25">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25">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25">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25">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25">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25">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25">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25">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25">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25">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25">
      <c r="C132" s="42"/>
    </row>
    <row r="133" spans="3:25" x14ac:dyDescent="0.25">
      <c r="C133" s="42"/>
    </row>
    <row r="144" spans="3:2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5" zeroHeight="1" x14ac:dyDescent="0.25"/>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x14ac:dyDescent="0.3">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3">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3">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3">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3">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5.75" thickBot="1" x14ac:dyDescent="0.3">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5.75" thickBot="1" x14ac:dyDescent="0.3">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15.75" thickBot="1" x14ac:dyDescent="0.3">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5.75" thickBot="1" x14ac:dyDescent="0.3">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5.75" thickBot="1" x14ac:dyDescent="0.3">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5.75" thickBot="1" x14ac:dyDescent="0.3">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5.75" thickBot="1" x14ac:dyDescent="0.3">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5.75" thickBot="1" x14ac:dyDescent="0.3">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5.75" thickBot="1" x14ac:dyDescent="0.3">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25">
      <c r="Q16" s="46"/>
    </row>
    <row r="17" spans="17:17" x14ac:dyDescent="0.25">
      <c r="Q17" s="31"/>
    </row>
    <row r="18" spans="17:17" x14ac:dyDescent="0.25">
      <c r="Q18" s="31"/>
    </row>
    <row r="19" spans="17:17" x14ac:dyDescent="0.25">
      <c r="Q19" s="31"/>
    </row>
    <row r="20" spans="17:17" ht="184.5" hidden="1" customHeight="1" x14ac:dyDescent="0.25"/>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5" zeroHeight="1" x14ac:dyDescent="0.25"/>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75" thickBot="1" x14ac:dyDescent="0.3">
      <c r="A1" s="1052"/>
      <c r="B1" s="1052"/>
    </row>
    <row r="2" spans="1:55" ht="31.5" customHeight="1" thickBot="1" x14ac:dyDescent="0.35">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3" t="s">
        <v>1004</v>
      </c>
      <c r="AT2" s="1071"/>
      <c r="AU2" s="1072"/>
      <c r="AY2" s="289"/>
      <c r="AZ2" s="290" t="s">
        <v>200</v>
      </c>
      <c r="BB2" s="289" t="s">
        <v>1005</v>
      </c>
      <c r="BC2" s="290" t="s">
        <v>1006</v>
      </c>
    </row>
    <row r="3" spans="1:55" ht="45.75" thickBot="1" x14ac:dyDescent="0.3">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9.25" thickBot="1" x14ac:dyDescent="0.3">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30" x14ac:dyDescent="0.25">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x14ac:dyDescent="0.25">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15.75" thickBot="1" x14ac:dyDescent="0.3">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x14ac:dyDescent="0.25">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x14ac:dyDescent="0.25">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25">
      <c r="AF10" s="132"/>
    </row>
    <row r="11" spans="1:55" x14ac:dyDescent="0.25">
      <c r="AF11" s="132"/>
    </row>
    <row r="12" spans="1:55" x14ac:dyDescent="0.25">
      <c r="AF12" s="132"/>
    </row>
    <row r="13" spans="1:55" x14ac:dyDescent="0.25">
      <c r="AF13" s="132"/>
      <c r="AG13" s="132"/>
      <c r="AH13" s="132"/>
    </row>
    <row r="14" spans="1:55" x14ac:dyDescent="0.25">
      <c r="AF14" s="132"/>
    </row>
    <row r="15" spans="1:55" x14ac:dyDescent="0.25"/>
    <row r="16" spans="1:5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5"/>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79"/>
      <c r="B1" s="280"/>
      <c r="C1" s="280"/>
      <c r="D1" s="280"/>
      <c r="E1" s="280"/>
      <c r="F1" s="280"/>
      <c r="G1" s="280"/>
      <c r="H1" s="305"/>
    </row>
    <row r="2" spans="1:14" ht="29.45" customHeight="1" x14ac:dyDescent="0.4">
      <c r="A2" s="1080"/>
      <c r="B2" s="1077" t="s">
        <v>966</v>
      </c>
      <c r="C2" s="1077"/>
      <c r="D2" s="1077"/>
      <c r="E2" s="1077"/>
      <c r="F2" s="1077"/>
      <c r="G2" s="1077"/>
      <c r="H2" s="1078"/>
    </row>
    <row r="3" spans="1:14" ht="30" x14ac:dyDescent="0.3">
      <c r="A3" s="282" t="s">
        <v>820</v>
      </c>
      <c r="B3" s="104" t="s">
        <v>21</v>
      </c>
      <c r="C3" s="104" t="s">
        <v>382</v>
      </c>
      <c r="D3" s="104" t="s">
        <v>20</v>
      </c>
      <c r="E3" s="104" t="s">
        <v>393</v>
      </c>
      <c r="F3" s="130" t="s">
        <v>242</v>
      </c>
      <c r="G3" s="130" t="s">
        <v>403</v>
      </c>
      <c r="H3" s="104" t="s">
        <v>407</v>
      </c>
      <c r="I3" s="31" t="s">
        <v>200</v>
      </c>
      <c r="J3" s="1081" t="s">
        <v>1039</v>
      </c>
      <c r="K3" s="1082"/>
      <c r="L3" s="1082"/>
      <c r="M3" s="1083"/>
    </row>
    <row r="4" spans="1:14" ht="15" x14ac:dyDescent="0.25">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5" x14ac:dyDescent="0.25">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5" x14ac:dyDescent="0.25">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5" x14ac:dyDescent="0.25">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5" x14ac:dyDescent="0.25">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5" x14ac:dyDescent="0.25">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5" x14ac:dyDescent="0.25">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5" x14ac:dyDescent="0.25">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5" x14ac:dyDescent="0.25">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5" x14ac:dyDescent="0.25">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5" x14ac:dyDescent="0.25">
      <c r="A14" s="88" t="str">
        <f>'G-1 All Habitats'!B13</f>
        <v>Grassland - Traditional orchards</v>
      </c>
      <c r="B14" s="543">
        <v>3</v>
      </c>
      <c r="C14" s="543">
        <v>2.5</v>
      </c>
      <c r="D14" s="543">
        <v>2</v>
      </c>
      <c r="E14" s="543">
        <v>1.5</v>
      </c>
      <c r="F14" s="543">
        <v>1</v>
      </c>
      <c r="G14" s="543" t="s">
        <v>934</v>
      </c>
      <c r="H14" s="543" t="s">
        <v>934</v>
      </c>
      <c r="I14" s="31" t="str">
        <f t="shared" si="1"/>
        <v>Cond4</v>
      </c>
    </row>
    <row r="15" spans="1:14" ht="15" x14ac:dyDescent="0.25">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5" x14ac:dyDescent="0.25">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5" x14ac:dyDescent="0.25">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5" x14ac:dyDescent="0.25">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5" x14ac:dyDescent="0.25">
      <c r="A19" s="88" t="str">
        <f>'G-1 All Habitats'!B18</f>
        <v>Grassland - Lowland meadows</v>
      </c>
      <c r="B19" s="543">
        <v>3</v>
      </c>
      <c r="C19" s="543">
        <v>2.5</v>
      </c>
      <c r="D19" s="543">
        <v>2</v>
      </c>
      <c r="E19" s="543">
        <v>1.5</v>
      </c>
      <c r="F19" s="543">
        <v>1</v>
      </c>
      <c r="G19" s="543" t="s">
        <v>934</v>
      </c>
      <c r="H19" s="543" t="s">
        <v>934</v>
      </c>
      <c r="I19" s="31" t="str">
        <f t="shared" si="1"/>
        <v>Cond4</v>
      </c>
    </row>
    <row r="20" spans="1:9" ht="15" x14ac:dyDescent="0.25">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25">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25">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25">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25">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25">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25">
      <c r="A26" s="88" t="str">
        <f>'G-1 All Habitats'!B25</f>
        <v>Grassland - Upland hay meadows</v>
      </c>
      <c r="B26" s="543">
        <v>3</v>
      </c>
      <c r="C26" s="543">
        <v>2.5</v>
      </c>
      <c r="D26" s="543">
        <v>2</v>
      </c>
      <c r="E26" s="543">
        <v>1.5</v>
      </c>
      <c r="F26" s="543">
        <v>1</v>
      </c>
      <c r="G26" s="543" t="s">
        <v>934</v>
      </c>
      <c r="H26" s="543" t="s">
        <v>934</v>
      </c>
      <c r="I26" s="31" t="str">
        <f t="shared" si="1"/>
        <v>Cond4</v>
      </c>
    </row>
    <row r="27" spans="1:9" ht="15" x14ac:dyDescent="0.25">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5" x14ac:dyDescent="0.25">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5" x14ac:dyDescent="0.25">
      <c r="A29" s="88" t="str">
        <f>'G-1 All Habitats'!B28</f>
        <v>Heathland and shrub - Gorse scrub</v>
      </c>
      <c r="B29" s="543">
        <v>3</v>
      </c>
      <c r="C29" s="543">
        <v>2.5</v>
      </c>
      <c r="D29" s="543">
        <v>2</v>
      </c>
      <c r="E29" s="543">
        <v>1.5</v>
      </c>
      <c r="F29" s="543">
        <v>1</v>
      </c>
      <c r="G29" s="543" t="s">
        <v>934</v>
      </c>
      <c r="H29" s="543" t="s">
        <v>934</v>
      </c>
      <c r="I29" s="31" t="str">
        <f t="shared" si="1"/>
        <v>Cond4</v>
      </c>
    </row>
    <row r="30" spans="1:9" ht="15" x14ac:dyDescent="0.25">
      <c r="A30" s="88" t="str">
        <f>'G-1 All Habitats'!B29</f>
        <v>Heathland and shrub - Hawthorn scrub</v>
      </c>
      <c r="B30" s="543">
        <v>3</v>
      </c>
      <c r="C30" s="543">
        <v>2.5</v>
      </c>
      <c r="D30" s="543">
        <v>2</v>
      </c>
      <c r="E30" s="543">
        <v>1.5</v>
      </c>
      <c r="F30" s="543">
        <v>1</v>
      </c>
      <c r="G30" s="543" t="s">
        <v>934</v>
      </c>
      <c r="H30" s="543" t="s">
        <v>934</v>
      </c>
      <c r="I30" s="31" t="str">
        <f t="shared" si="1"/>
        <v>Cond4</v>
      </c>
    </row>
    <row r="31" spans="1:9" ht="15" x14ac:dyDescent="0.25">
      <c r="A31" s="88" t="str">
        <f>'G-1 All Habitats'!B30</f>
        <v>Heathland and shrub - Hazel scrub</v>
      </c>
      <c r="B31" s="543">
        <v>3</v>
      </c>
      <c r="C31" s="543">
        <v>2.5</v>
      </c>
      <c r="D31" s="543">
        <v>2</v>
      </c>
      <c r="E31" s="543">
        <v>1.5</v>
      </c>
      <c r="F31" s="543">
        <v>1</v>
      </c>
      <c r="G31" s="543" t="s">
        <v>934</v>
      </c>
      <c r="H31" s="543" t="s">
        <v>934</v>
      </c>
      <c r="I31" s="31" t="str">
        <f t="shared" si="1"/>
        <v>Cond4</v>
      </c>
    </row>
    <row r="32" spans="1:9" ht="15" x14ac:dyDescent="0.25">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5" x14ac:dyDescent="0.25">
      <c r="A33" s="88" t="str">
        <f>'G-1 All Habitats'!B32</f>
        <v>Heathland and shrub - Mixed scrub</v>
      </c>
      <c r="B33" s="543">
        <v>3</v>
      </c>
      <c r="C33" s="543">
        <v>2.5</v>
      </c>
      <c r="D33" s="543">
        <v>2</v>
      </c>
      <c r="E33" s="543">
        <v>1.5</v>
      </c>
      <c r="F33" s="543">
        <v>1</v>
      </c>
      <c r="G33" s="543" t="s">
        <v>934</v>
      </c>
      <c r="H33" s="543" t="s">
        <v>934</v>
      </c>
      <c r="I33" s="31" t="str">
        <f t="shared" si="1"/>
        <v>Cond4</v>
      </c>
    </row>
    <row r="34" spans="1:9" ht="15" x14ac:dyDescent="0.25">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5" x14ac:dyDescent="0.25">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5" x14ac:dyDescent="0.25">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5" x14ac:dyDescent="0.25">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5" x14ac:dyDescent="0.25">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5" x14ac:dyDescent="0.25">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5" x14ac:dyDescent="0.25">
      <c r="A40" s="88" t="str">
        <f>'G-1 All Habitats'!B40</f>
        <v>Lakes - High alkalinity lakes</v>
      </c>
      <c r="B40" s="543">
        <v>3</v>
      </c>
      <c r="C40" s="543">
        <v>2.5</v>
      </c>
      <c r="D40" s="543">
        <v>2</v>
      </c>
      <c r="E40" s="543">
        <v>1.5</v>
      </c>
      <c r="F40" s="543">
        <v>1</v>
      </c>
      <c r="G40" s="543" t="s">
        <v>934</v>
      </c>
      <c r="H40" s="543" t="s">
        <v>934</v>
      </c>
      <c r="I40" s="31" t="str">
        <f t="shared" si="1"/>
        <v>Cond4</v>
      </c>
    </row>
    <row r="41" spans="1:9" ht="15" x14ac:dyDescent="0.25">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5" x14ac:dyDescent="0.25">
      <c r="A42" s="88" t="str">
        <f>'G-1 All Habitats'!B42</f>
        <v>Lakes - Marl Lakes</v>
      </c>
      <c r="B42" s="543">
        <v>3</v>
      </c>
      <c r="C42" s="543">
        <v>2.5</v>
      </c>
      <c r="D42" s="543">
        <v>2</v>
      </c>
      <c r="E42" s="543">
        <v>1.5</v>
      </c>
      <c r="F42" s="543">
        <v>1</v>
      </c>
      <c r="G42" s="543" t="s">
        <v>934</v>
      </c>
      <c r="H42" s="543" t="s">
        <v>934</v>
      </c>
      <c r="I42" s="31" t="str">
        <f t="shared" si="2"/>
        <v>Cond4</v>
      </c>
    </row>
    <row r="43" spans="1:9" ht="15" x14ac:dyDescent="0.25">
      <c r="A43" s="88" t="str">
        <f>'G-1 All Habitats'!B43</f>
        <v>Lakes - Moderate alkalinity lakes</v>
      </c>
      <c r="B43" s="543">
        <v>3</v>
      </c>
      <c r="C43" s="543">
        <v>2.5</v>
      </c>
      <c r="D43" s="543">
        <v>2</v>
      </c>
      <c r="E43" s="543">
        <v>1.5</v>
      </c>
      <c r="F43" s="543">
        <v>1</v>
      </c>
      <c r="G43" s="543" t="s">
        <v>934</v>
      </c>
      <c r="H43" s="543" t="s">
        <v>934</v>
      </c>
      <c r="I43" s="31" t="str">
        <f t="shared" si="2"/>
        <v>Cond4</v>
      </c>
    </row>
    <row r="44" spans="1:9" ht="15" x14ac:dyDescent="0.25">
      <c r="A44" s="88" t="str">
        <f>'G-1 All Habitats'!B44</f>
        <v>Lakes - Peat Lakes</v>
      </c>
      <c r="B44" s="543">
        <v>3</v>
      </c>
      <c r="C44" s="543">
        <v>2.5</v>
      </c>
      <c r="D44" s="543">
        <v>2</v>
      </c>
      <c r="E44" s="543">
        <v>1.5</v>
      </c>
      <c r="F44" s="543">
        <v>1</v>
      </c>
      <c r="G44" s="543" t="s">
        <v>934</v>
      </c>
      <c r="H44" s="543" t="s">
        <v>934</v>
      </c>
      <c r="I44" s="31" t="str">
        <f t="shared" si="2"/>
        <v>Cond4</v>
      </c>
    </row>
    <row r="45" spans="1:9" ht="15" x14ac:dyDescent="0.25">
      <c r="A45" s="88" t="str">
        <f>'G-1 All Habitats'!B45</f>
        <v>Lakes - Ponds (Priority Habitat)</v>
      </c>
      <c r="B45" s="543">
        <v>3</v>
      </c>
      <c r="C45" s="543">
        <v>2.5</v>
      </c>
      <c r="D45" s="543">
        <v>2</v>
      </c>
      <c r="E45" s="543">
        <v>1.5</v>
      </c>
      <c r="F45" s="543">
        <v>1</v>
      </c>
      <c r="G45" s="543" t="s">
        <v>934</v>
      </c>
      <c r="H45" s="543" t="s">
        <v>934</v>
      </c>
      <c r="I45" s="31" t="str">
        <f t="shared" si="2"/>
        <v>Cond4</v>
      </c>
    </row>
    <row r="46" spans="1:9" ht="15" x14ac:dyDescent="0.25">
      <c r="A46" s="88" t="str">
        <f>'G-1 All Habitats'!B46</f>
        <v>Lakes - Ponds (Non- Priority Habitat)</v>
      </c>
      <c r="B46" s="543">
        <v>3</v>
      </c>
      <c r="C46" s="543">
        <v>2.5</v>
      </c>
      <c r="D46" s="543">
        <v>2</v>
      </c>
      <c r="E46" s="543">
        <v>1.5</v>
      </c>
      <c r="F46" s="543">
        <v>1</v>
      </c>
      <c r="G46" s="543" t="s">
        <v>934</v>
      </c>
      <c r="H46" s="543" t="s">
        <v>934</v>
      </c>
      <c r="I46" s="31" t="str">
        <f t="shared" si="2"/>
        <v>Cond4</v>
      </c>
    </row>
    <row r="47" spans="1:9" ht="15" x14ac:dyDescent="0.25">
      <c r="A47" s="88" t="str">
        <f>'G-1 All Habitats'!B47</f>
        <v>Lakes - Reservoirs</v>
      </c>
      <c r="B47" s="543">
        <v>3</v>
      </c>
      <c r="C47" s="543">
        <v>2.5</v>
      </c>
      <c r="D47" s="543">
        <v>2</v>
      </c>
      <c r="E47" s="543">
        <v>1.5</v>
      </c>
      <c r="F47" s="543">
        <v>1</v>
      </c>
      <c r="G47" s="543" t="s">
        <v>934</v>
      </c>
      <c r="H47" s="543" t="s">
        <v>934</v>
      </c>
      <c r="I47" s="31" t="str">
        <f t="shared" si="2"/>
        <v>Cond4</v>
      </c>
    </row>
    <row r="48" spans="1:9" ht="15" x14ac:dyDescent="0.25">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5" x14ac:dyDescent="0.25">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5" x14ac:dyDescent="0.25">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5" x14ac:dyDescent="0.25">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5" x14ac:dyDescent="0.25">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5" x14ac:dyDescent="0.25">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5" x14ac:dyDescent="0.25">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5" x14ac:dyDescent="0.25">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5" x14ac:dyDescent="0.25">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5" x14ac:dyDescent="0.25">
      <c r="A57" s="88" t="str">
        <f>'G-1 All Habitats'!B57</f>
        <v>Urban - Allotments</v>
      </c>
      <c r="B57" s="543">
        <v>3</v>
      </c>
      <c r="C57" s="543">
        <v>2.5</v>
      </c>
      <c r="D57" s="543">
        <v>2</v>
      </c>
      <c r="E57" s="543">
        <v>1.5</v>
      </c>
      <c r="F57" s="543">
        <v>1</v>
      </c>
      <c r="G57" s="543" t="s">
        <v>934</v>
      </c>
      <c r="H57" s="543" t="s">
        <v>934</v>
      </c>
      <c r="I57" s="31" t="str">
        <f t="shared" si="2"/>
        <v>Cond4</v>
      </c>
    </row>
    <row r="58" spans="1:9" ht="15" x14ac:dyDescent="0.25">
      <c r="A58" s="88" t="str">
        <f>'G-1 All Habitats'!B39</f>
        <v>Lakes - Ornamental lake or pond</v>
      </c>
      <c r="B58" s="543">
        <v>3</v>
      </c>
      <c r="C58" s="543">
        <v>2.5</v>
      </c>
      <c r="D58" s="543">
        <v>2</v>
      </c>
      <c r="E58" s="543">
        <v>1.5</v>
      </c>
      <c r="F58" s="543">
        <v>1</v>
      </c>
      <c r="G58" s="543" t="s">
        <v>934</v>
      </c>
      <c r="H58" s="543" t="s">
        <v>934</v>
      </c>
      <c r="I58" s="31" t="str">
        <f t="shared" si="2"/>
        <v>Cond4</v>
      </c>
    </row>
    <row r="59" spans="1:9" ht="15" x14ac:dyDescent="0.25">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5" x14ac:dyDescent="0.25">
      <c r="A60" s="88" t="str">
        <f>'G-1 All Habitats'!B59</f>
        <v>Urban - Bioswale</v>
      </c>
      <c r="B60" s="543">
        <v>3</v>
      </c>
      <c r="C60" s="543">
        <v>2.5</v>
      </c>
      <c r="D60" s="543">
        <v>2</v>
      </c>
      <c r="E60" s="543">
        <v>1.5</v>
      </c>
      <c r="F60" s="543">
        <v>1</v>
      </c>
      <c r="G60" s="543" t="s">
        <v>934</v>
      </c>
      <c r="H60" s="543" t="s">
        <v>934</v>
      </c>
      <c r="I60" s="31" t="str">
        <f t="shared" si="2"/>
        <v>Cond4</v>
      </c>
    </row>
    <row r="61" spans="1:9" ht="15" x14ac:dyDescent="0.25">
      <c r="A61" s="88" t="str">
        <f>'G-1 All Habitats'!B60</f>
        <v>Urban - Intensive green roof</v>
      </c>
      <c r="B61" s="543">
        <v>3</v>
      </c>
      <c r="C61" s="543">
        <v>2.5</v>
      </c>
      <c r="D61" s="543">
        <v>2</v>
      </c>
      <c r="E61" s="543">
        <v>1.5</v>
      </c>
      <c r="F61" s="543">
        <v>1</v>
      </c>
      <c r="G61" s="543" t="s">
        <v>934</v>
      </c>
      <c r="H61" s="543" t="s">
        <v>934</v>
      </c>
      <c r="I61" s="31" t="str">
        <f t="shared" si="2"/>
        <v>Cond4</v>
      </c>
    </row>
    <row r="62" spans="1:9" ht="15" x14ac:dyDescent="0.25">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5" x14ac:dyDescent="0.25">
      <c r="A63" s="88" t="str">
        <f>'G-1 All Habitats'!B62</f>
        <v>Urban - Cemeteries and churchyards</v>
      </c>
      <c r="B63" s="543">
        <v>3</v>
      </c>
      <c r="C63" s="543">
        <v>2.5</v>
      </c>
      <c r="D63" s="543">
        <v>2</v>
      </c>
      <c r="E63" s="543">
        <v>1.5</v>
      </c>
      <c r="F63" s="543">
        <v>1</v>
      </c>
      <c r="G63" s="543" t="s">
        <v>934</v>
      </c>
      <c r="H63" s="543" t="s">
        <v>934</v>
      </c>
      <c r="I63" s="31" t="str">
        <f t="shared" si="2"/>
        <v>Cond4</v>
      </c>
    </row>
    <row r="64" spans="1:9" ht="15" x14ac:dyDescent="0.25">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5" x14ac:dyDescent="0.25">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5" x14ac:dyDescent="0.25">
      <c r="A66" s="88" t="str">
        <f>'G-1 All Habitats'!B65</f>
        <v>Urban - Facade-bound green wall</v>
      </c>
      <c r="B66" s="543">
        <v>3</v>
      </c>
      <c r="C66" s="543">
        <v>2.5</v>
      </c>
      <c r="D66" s="543">
        <v>2</v>
      </c>
      <c r="E66" s="543">
        <v>1.5</v>
      </c>
      <c r="F66" s="543">
        <v>1</v>
      </c>
      <c r="G66" s="543" t="s">
        <v>934</v>
      </c>
      <c r="H66" s="543" t="s">
        <v>934</v>
      </c>
      <c r="I66" s="31" t="str">
        <f t="shared" si="2"/>
        <v>Cond4</v>
      </c>
    </row>
    <row r="67" spans="1:9" ht="15" x14ac:dyDescent="0.25">
      <c r="A67" s="88" t="str">
        <f>'G-1 All Habitats'!B66</f>
        <v>Urban - Ground based green wall</v>
      </c>
      <c r="B67" s="543">
        <v>3</v>
      </c>
      <c r="C67" s="543">
        <v>2.5</v>
      </c>
      <c r="D67" s="543">
        <v>2</v>
      </c>
      <c r="E67" s="543">
        <v>1.5</v>
      </c>
      <c r="F67" s="543">
        <v>1</v>
      </c>
      <c r="G67" s="543" t="s">
        <v>934</v>
      </c>
      <c r="H67" s="543" t="s">
        <v>934</v>
      </c>
      <c r="I67" s="31" t="str">
        <f t="shared" si="2"/>
        <v>Cond4</v>
      </c>
    </row>
    <row r="68" spans="1:9" ht="15" x14ac:dyDescent="0.25">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5" x14ac:dyDescent="0.25">
      <c r="A69" s="88" t="str">
        <f>'G-1 All Habitats'!B68</f>
        <v>Urban - Biodiverse green roof</v>
      </c>
      <c r="B69" s="543">
        <v>3</v>
      </c>
      <c r="C69" s="543">
        <v>2.5</v>
      </c>
      <c r="D69" s="543">
        <v>2</v>
      </c>
      <c r="E69" s="543">
        <v>1.5</v>
      </c>
      <c r="F69" s="543">
        <v>1</v>
      </c>
      <c r="G69" s="543" t="s">
        <v>934</v>
      </c>
      <c r="H69" s="543" t="s">
        <v>934</v>
      </c>
      <c r="I69" s="31" t="str">
        <f t="shared" si="2"/>
        <v>Cond4</v>
      </c>
    </row>
    <row r="70" spans="1:9" ht="15" x14ac:dyDescent="0.25">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5" x14ac:dyDescent="0.25">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5" x14ac:dyDescent="0.25">
      <c r="A72" s="88" t="str">
        <f>'G-1 All Habitats'!B71</f>
        <v>Urban - Rain garden</v>
      </c>
      <c r="B72" s="543">
        <v>3</v>
      </c>
      <c r="C72" s="543">
        <v>2.5</v>
      </c>
      <c r="D72" s="543">
        <v>2</v>
      </c>
      <c r="E72" s="543">
        <v>1.5</v>
      </c>
      <c r="F72" s="543">
        <v>1</v>
      </c>
      <c r="G72" s="543" t="s">
        <v>934</v>
      </c>
      <c r="H72" s="543" t="s">
        <v>934</v>
      </c>
      <c r="I72" s="31" t="str">
        <f t="shared" si="2"/>
        <v>Cond4</v>
      </c>
    </row>
    <row r="73" spans="1:9" ht="15" x14ac:dyDescent="0.25">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5" x14ac:dyDescent="0.25">
      <c r="A74" s="88" t="str">
        <f>'G-1 All Habitats'!B73</f>
        <v>Urban - Urban Tree</v>
      </c>
      <c r="B74" s="543">
        <v>3</v>
      </c>
      <c r="C74" s="543">
        <v>2.5</v>
      </c>
      <c r="D74" s="543">
        <v>2</v>
      </c>
      <c r="E74" s="543">
        <v>1.5</v>
      </c>
      <c r="F74" s="543">
        <v>1</v>
      </c>
      <c r="G74" s="543" t="s">
        <v>934</v>
      </c>
      <c r="H74" s="543" t="s">
        <v>934</v>
      </c>
      <c r="I74" s="31" t="str">
        <f t="shared" si="3"/>
        <v>Cond4</v>
      </c>
    </row>
    <row r="75" spans="1:9" ht="15" x14ac:dyDescent="0.25">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5" x14ac:dyDescent="0.25">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5" x14ac:dyDescent="0.25">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5" x14ac:dyDescent="0.25">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5" x14ac:dyDescent="0.25">
      <c r="A79" s="88" t="str">
        <f>'G-1 All Habitats'!B78</f>
        <v>Wetland - Blanket bog</v>
      </c>
      <c r="B79" s="543">
        <v>3</v>
      </c>
      <c r="C79" s="543">
        <v>2.5</v>
      </c>
      <c r="D79" s="543">
        <v>2</v>
      </c>
      <c r="E79" s="543">
        <v>1.5</v>
      </c>
      <c r="F79" s="543">
        <v>1</v>
      </c>
      <c r="G79" s="543" t="s">
        <v>934</v>
      </c>
      <c r="H79" s="543" t="s">
        <v>934</v>
      </c>
      <c r="I79" s="31" t="str">
        <f t="shared" si="3"/>
        <v>Cond4</v>
      </c>
    </row>
    <row r="80" spans="1:9" ht="15" x14ac:dyDescent="0.25">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5" x14ac:dyDescent="0.25">
      <c r="A81" s="88" t="str">
        <f>'G-1 All Habitats'!B80</f>
        <v>Wetland - Fens (upland and lowland)</v>
      </c>
      <c r="B81" s="543">
        <v>3</v>
      </c>
      <c r="C81" s="543">
        <v>2.5</v>
      </c>
      <c r="D81" s="543">
        <v>2</v>
      </c>
      <c r="E81" s="543">
        <v>1.5</v>
      </c>
      <c r="F81" s="543">
        <v>1</v>
      </c>
      <c r="G81" s="543" t="s">
        <v>934</v>
      </c>
      <c r="H81" s="543" t="s">
        <v>934</v>
      </c>
      <c r="I81" s="31" t="str">
        <f t="shared" si="3"/>
        <v>Cond4</v>
      </c>
    </row>
    <row r="82" spans="1:9" ht="15" x14ac:dyDescent="0.25">
      <c r="A82" s="88" t="str">
        <f>'G-1 All Habitats'!B81</f>
        <v>Wetland - Lowland raised bog</v>
      </c>
      <c r="B82" s="543">
        <v>3</v>
      </c>
      <c r="C82" s="543">
        <v>2.5</v>
      </c>
      <c r="D82" s="543">
        <v>2</v>
      </c>
      <c r="E82" s="543">
        <v>1.5</v>
      </c>
      <c r="F82" s="543">
        <v>1</v>
      </c>
      <c r="G82" s="543" t="s">
        <v>934</v>
      </c>
      <c r="H82" s="543" t="s">
        <v>934</v>
      </c>
      <c r="I82" s="31" t="str">
        <f t="shared" si="3"/>
        <v>Cond4</v>
      </c>
    </row>
    <row r="83" spans="1:9" ht="15" x14ac:dyDescent="0.25">
      <c r="A83" s="88" t="str">
        <f>'G-1 All Habitats'!B82</f>
        <v>Wetland - Oceanic Valley Mire[1] (D2.1)</v>
      </c>
      <c r="B83" s="543">
        <v>3</v>
      </c>
      <c r="C83" s="543">
        <v>2.5</v>
      </c>
      <c r="D83" s="543">
        <v>2</v>
      </c>
      <c r="E83" s="543">
        <v>1.5</v>
      </c>
      <c r="F83" s="543">
        <v>1</v>
      </c>
      <c r="G83" s="543" t="s">
        <v>934</v>
      </c>
      <c r="H83" s="543" t="s">
        <v>934</v>
      </c>
      <c r="I83" s="31" t="str">
        <f t="shared" si="3"/>
        <v>Cond4</v>
      </c>
    </row>
    <row r="84" spans="1:9" ht="15" x14ac:dyDescent="0.25">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5" x14ac:dyDescent="0.25">
      <c r="A85" s="88" t="str">
        <f>'G-1 All Habitats'!B84</f>
        <v>Wetland - Reedbeds</v>
      </c>
      <c r="B85" s="543">
        <v>3</v>
      </c>
      <c r="C85" s="543">
        <v>2.5</v>
      </c>
      <c r="D85" s="543">
        <v>2</v>
      </c>
      <c r="E85" s="543">
        <v>1.5</v>
      </c>
      <c r="F85" s="543">
        <v>1</v>
      </c>
      <c r="G85" s="543" t="s">
        <v>934</v>
      </c>
      <c r="H85" s="543" t="s">
        <v>934</v>
      </c>
      <c r="I85" s="31" t="str">
        <f t="shared" si="3"/>
        <v>Cond4</v>
      </c>
    </row>
    <row r="86" spans="1:9" ht="15" x14ac:dyDescent="0.25">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5" x14ac:dyDescent="0.25">
      <c r="A87" s="88" t="str">
        <f>'G-1 All Habitats'!B86</f>
        <v>Woodland and forest - Felled</v>
      </c>
      <c r="B87" s="543">
        <v>3</v>
      </c>
      <c r="C87" s="543" t="s">
        <v>934</v>
      </c>
      <c r="D87" s="543" t="s">
        <v>934</v>
      </c>
      <c r="E87" s="543" t="s">
        <v>934</v>
      </c>
      <c r="F87" s="543" t="s">
        <v>934</v>
      </c>
      <c r="G87" s="543" t="s">
        <v>934</v>
      </c>
      <c r="H87" s="543" t="s">
        <v>934</v>
      </c>
      <c r="I87" s="31" t="s">
        <v>1044</v>
      </c>
    </row>
    <row r="88" spans="1:9" ht="15" x14ac:dyDescent="0.25">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5" x14ac:dyDescent="0.25">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5" x14ac:dyDescent="0.25">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5" x14ac:dyDescent="0.25">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5" x14ac:dyDescent="0.25">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5" x14ac:dyDescent="0.25">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5" x14ac:dyDescent="0.25">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5" x14ac:dyDescent="0.25">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5" x14ac:dyDescent="0.25">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5" x14ac:dyDescent="0.25">
      <c r="A97" s="88" t="str">
        <f>'G-1 All Habitats'!B96</f>
        <v>Woodland and forest - Upland oakwood</v>
      </c>
      <c r="B97" s="543">
        <v>3</v>
      </c>
      <c r="C97" s="543">
        <v>2.5</v>
      </c>
      <c r="D97" s="543">
        <v>2</v>
      </c>
      <c r="E97" s="543">
        <v>1.5</v>
      </c>
      <c r="F97" s="543">
        <v>1</v>
      </c>
      <c r="G97" s="543" t="s">
        <v>934</v>
      </c>
      <c r="H97" s="543" t="s">
        <v>934</v>
      </c>
      <c r="I97" s="31" t="str">
        <f t="shared" si="4"/>
        <v>Cond4</v>
      </c>
    </row>
    <row r="98" spans="1:9" ht="15" x14ac:dyDescent="0.25">
      <c r="A98" s="88" t="str">
        <f>'G-1 All Habitats'!B97</f>
        <v>Woodland and forest - Wet woodland</v>
      </c>
      <c r="B98" s="543">
        <v>3</v>
      </c>
      <c r="C98" s="543">
        <v>2.5</v>
      </c>
      <c r="D98" s="543">
        <v>2</v>
      </c>
      <c r="E98" s="543">
        <v>1.5</v>
      </c>
      <c r="F98" s="543">
        <v>1</v>
      </c>
      <c r="G98" s="543" t="s">
        <v>934</v>
      </c>
      <c r="H98" s="543" t="s">
        <v>934</v>
      </c>
      <c r="I98" s="31" t="str">
        <f t="shared" si="4"/>
        <v>Cond4</v>
      </c>
    </row>
    <row r="99" spans="1:9" ht="15" x14ac:dyDescent="0.25">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5" x14ac:dyDescent="0.25">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5" x14ac:dyDescent="0.25">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5" x14ac:dyDescent="0.25">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5" x14ac:dyDescent="0.25">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5" x14ac:dyDescent="0.25">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5" x14ac:dyDescent="0.25">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5" x14ac:dyDescent="0.25">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5" x14ac:dyDescent="0.25">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5" x14ac:dyDescent="0.25">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5" x14ac:dyDescent="0.25">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5" x14ac:dyDescent="0.25">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5" x14ac:dyDescent="0.25">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5" x14ac:dyDescent="0.25">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5" x14ac:dyDescent="0.25">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5" x14ac:dyDescent="0.25">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5" x14ac:dyDescent="0.25">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5" x14ac:dyDescent="0.25">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5" x14ac:dyDescent="0.25">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5" x14ac:dyDescent="0.25">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5" x14ac:dyDescent="0.25">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5" x14ac:dyDescent="0.25">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5" x14ac:dyDescent="0.25">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5" x14ac:dyDescent="0.25">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5" x14ac:dyDescent="0.25">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5" x14ac:dyDescent="0.25">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5" x14ac:dyDescent="0.25">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5" x14ac:dyDescent="0.25">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5" x14ac:dyDescent="0.25">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5" x14ac:dyDescent="0.25">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5" x14ac:dyDescent="0.25">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5" x14ac:dyDescent="0.25">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5" x14ac:dyDescent="0.25"/>
    <row r="132" spans="1:9" ht="15" x14ac:dyDescent="0.25"/>
    <row r="133" spans="1:9" ht="14.45" customHeight="1" x14ac:dyDescent="0.25"/>
    <row r="134" spans="1:9" ht="14.45" customHeight="1" x14ac:dyDescent="0.25"/>
    <row r="135" spans="1:9" ht="14.45" customHeight="1" x14ac:dyDescent="0.25"/>
    <row r="136" spans="1:9" ht="14.45" customHeight="1" x14ac:dyDescent="0.25"/>
    <row r="137" spans="1:9" ht="14.45" customHeight="1" x14ac:dyDescent="0.25"/>
    <row r="138" spans="1:9" ht="14.45" customHeight="1" x14ac:dyDescent="0.25"/>
    <row r="139" spans="1:9" ht="14.45" customHeight="1" x14ac:dyDescent="0.25"/>
    <row r="140" spans="1:9" ht="14.45" customHeight="1" x14ac:dyDescent="0.25"/>
    <row r="141" spans="1:9" ht="14.45" customHeight="1" x14ac:dyDescent="0.25"/>
    <row r="142" spans="1:9" ht="14.45" customHeight="1" x14ac:dyDescent="0.25"/>
    <row r="143" spans="1:9" ht="14.45" customHeight="1" x14ac:dyDescent="0.25"/>
    <row r="144" spans="1:9" ht="14.45" customHeight="1" x14ac:dyDescent="0.25"/>
    <row r="145" ht="14.45" customHeight="1" x14ac:dyDescent="0.25"/>
    <row r="146" ht="14.45" customHeight="1" x14ac:dyDescent="0.25"/>
    <row r="147" ht="14.45" customHeight="1" x14ac:dyDescent="0.25"/>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x14ac:dyDescent="0.25"/>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x14ac:dyDescent="0.25"/>
    <row r="2" spans="2:4" ht="15.75" x14ac:dyDescent="0.25">
      <c r="B2" s="123" t="s">
        <v>1045</v>
      </c>
      <c r="C2" s="123" t="s">
        <v>1046</v>
      </c>
      <c r="D2" s="123" t="s">
        <v>1047</v>
      </c>
    </row>
    <row r="3" spans="2:4" x14ac:dyDescent="0.25">
      <c r="B3" s="648" t="s">
        <v>1048</v>
      </c>
      <c r="C3" s="543" t="s">
        <v>695</v>
      </c>
      <c r="D3" s="543" t="s">
        <v>23</v>
      </c>
    </row>
    <row r="4" spans="2:4" x14ac:dyDescent="0.25">
      <c r="B4" s="648" t="s">
        <v>1049</v>
      </c>
      <c r="C4" s="543" t="s">
        <v>692</v>
      </c>
      <c r="D4" s="543" t="s">
        <v>23</v>
      </c>
    </row>
    <row r="5" spans="2:4" x14ac:dyDescent="0.25">
      <c r="B5" s="648" t="s">
        <v>1050</v>
      </c>
      <c r="C5" s="543" t="s">
        <v>678</v>
      </c>
      <c r="D5" s="543" t="s">
        <v>153</v>
      </c>
    </row>
    <row r="6" spans="2:4" x14ac:dyDescent="0.25">
      <c r="B6" s="648" t="s">
        <v>1051</v>
      </c>
      <c r="C6" s="543" t="s">
        <v>692</v>
      </c>
      <c r="D6" s="543" t="s">
        <v>23</v>
      </c>
    </row>
    <row r="7" spans="2:4" x14ac:dyDescent="0.25">
      <c r="B7" s="648" t="s">
        <v>684</v>
      </c>
      <c r="C7" s="543" t="s">
        <v>686</v>
      </c>
      <c r="D7" s="543" t="s">
        <v>156</v>
      </c>
    </row>
    <row r="8" spans="2:4" x14ac:dyDescent="0.25">
      <c r="B8" s="648" t="s">
        <v>1052</v>
      </c>
      <c r="C8" s="543" t="s">
        <v>681</v>
      </c>
      <c r="D8" s="543" t="s">
        <v>153</v>
      </c>
    </row>
    <row r="9" spans="2:4" x14ac:dyDescent="0.25">
      <c r="B9" s="648" t="s">
        <v>1053</v>
      </c>
      <c r="C9" s="543" t="s">
        <v>686</v>
      </c>
      <c r="D9" s="543" t="s">
        <v>156</v>
      </c>
    </row>
    <row r="10" spans="2:4" x14ac:dyDescent="0.25">
      <c r="B10" s="648" t="s">
        <v>1054</v>
      </c>
      <c r="C10" s="543" t="s">
        <v>695</v>
      </c>
      <c r="D10" s="543" t="s">
        <v>23</v>
      </c>
    </row>
    <row r="11" spans="2:4" x14ac:dyDescent="0.25">
      <c r="B11" s="648" t="s">
        <v>1055</v>
      </c>
      <c r="C11" s="543" t="s">
        <v>678</v>
      </c>
      <c r="D11" s="543" t="s">
        <v>153</v>
      </c>
    </row>
    <row r="12" spans="2:4" x14ac:dyDescent="0.25">
      <c r="B12" s="648" t="s">
        <v>1056</v>
      </c>
      <c r="C12" s="543" t="s">
        <v>695</v>
      </c>
      <c r="D12" s="543" t="s">
        <v>23</v>
      </c>
    </row>
    <row r="13" spans="2:4" x14ac:dyDescent="0.25">
      <c r="B13" s="648" t="s">
        <v>1057</v>
      </c>
      <c r="C13" s="543" t="s">
        <v>496</v>
      </c>
      <c r="D13" s="543" t="s">
        <v>23</v>
      </c>
    </row>
    <row r="14" spans="2:4" x14ac:dyDescent="0.25">
      <c r="B14" s="648" t="s">
        <v>1058</v>
      </c>
      <c r="C14" s="543" t="s">
        <v>496</v>
      </c>
      <c r="D14" s="543" t="s">
        <v>23</v>
      </c>
    </row>
    <row r="15" spans="2:4" x14ac:dyDescent="0.25">
      <c r="B15" s="648" t="s">
        <v>1059</v>
      </c>
      <c r="C15" s="543" t="s">
        <v>496</v>
      </c>
      <c r="D15" s="543" t="s">
        <v>23</v>
      </c>
    </row>
    <row r="16" spans="2:4" x14ac:dyDescent="0.25">
      <c r="B16" s="648" t="s">
        <v>1060</v>
      </c>
      <c r="C16" s="543" t="s">
        <v>712</v>
      </c>
      <c r="D16" s="543" t="s">
        <v>153</v>
      </c>
    </row>
    <row r="17" spans="2:4" x14ac:dyDescent="0.25">
      <c r="B17" s="648" t="s">
        <v>1061</v>
      </c>
      <c r="C17" s="543" t="s">
        <v>712</v>
      </c>
      <c r="D17" s="543" t="s">
        <v>153</v>
      </c>
    </row>
    <row r="18" spans="2:4" x14ac:dyDescent="0.25">
      <c r="B18" s="648" t="s">
        <v>1062</v>
      </c>
      <c r="C18" s="543" t="s">
        <v>686</v>
      </c>
      <c r="D18" s="543" t="s">
        <v>23</v>
      </c>
    </row>
    <row r="19" spans="2:4" x14ac:dyDescent="0.25">
      <c r="B19" s="648" t="s">
        <v>1063</v>
      </c>
      <c r="C19" s="543" t="s">
        <v>712</v>
      </c>
      <c r="D19" s="543" t="s">
        <v>153</v>
      </c>
    </row>
    <row r="20" spans="2:4" x14ac:dyDescent="0.25">
      <c r="B20" s="648" t="s">
        <v>1064</v>
      </c>
      <c r="C20" s="543" t="s">
        <v>671</v>
      </c>
      <c r="D20" s="543" t="s">
        <v>153</v>
      </c>
    </row>
    <row r="21" spans="2:4" x14ac:dyDescent="0.25">
      <c r="B21" s="648" t="s">
        <v>1065</v>
      </c>
      <c r="C21" s="543" t="s">
        <v>671</v>
      </c>
      <c r="D21" s="543" t="s">
        <v>153</v>
      </c>
    </row>
    <row r="22" spans="2:4" x14ac:dyDescent="0.25">
      <c r="B22" s="648" t="s">
        <v>1066</v>
      </c>
      <c r="C22" s="543" t="s">
        <v>671</v>
      </c>
      <c r="D22" s="543" t="s">
        <v>153</v>
      </c>
    </row>
    <row r="23" spans="2:4" x14ac:dyDescent="0.25">
      <c r="B23" s="648" t="s">
        <v>1067</v>
      </c>
      <c r="C23" s="543" t="s">
        <v>671</v>
      </c>
      <c r="D23" s="543" t="s">
        <v>153</v>
      </c>
    </row>
    <row r="24" spans="2:4" x14ac:dyDescent="0.25">
      <c r="B24" s="648" t="s">
        <v>426</v>
      </c>
      <c r="C24" s="543" t="s">
        <v>453</v>
      </c>
      <c r="D24" s="543" t="s">
        <v>23</v>
      </c>
    </row>
    <row r="25" spans="2:4" x14ac:dyDescent="0.25">
      <c r="B25" s="648" t="s">
        <v>426</v>
      </c>
      <c r="C25" s="543" t="s">
        <v>464</v>
      </c>
      <c r="D25" s="543" t="s">
        <v>23</v>
      </c>
    </row>
    <row r="26" spans="2:4" x14ac:dyDescent="0.25">
      <c r="B26" s="648" t="s">
        <v>1068</v>
      </c>
      <c r="C26" s="543" t="s">
        <v>439</v>
      </c>
      <c r="D26" s="543" t="s">
        <v>375</v>
      </c>
    </row>
    <row r="27" spans="2:4" x14ac:dyDescent="0.25">
      <c r="B27" s="648" t="s">
        <v>1068</v>
      </c>
      <c r="C27" s="543" t="s">
        <v>470</v>
      </c>
      <c r="D27" s="543" t="s">
        <v>375</v>
      </c>
    </row>
    <row r="28" spans="2:4" x14ac:dyDescent="0.25">
      <c r="B28" s="648" t="s">
        <v>1069</v>
      </c>
      <c r="C28" s="543" t="s">
        <v>464</v>
      </c>
      <c r="D28" s="543" t="s">
        <v>23</v>
      </c>
    </row>
    <row r="29" spans="2:4" x14ac:dyDescent="0.25">
      <c r="B29" s="648" t="s">
        <v>1069</v>
      </c>
      <c r="C29" s="543" t="s">
        <v>453</v>
      </c>
      <c r="D29" s="543" t="s">
        <v>23</v>
      </c>
    </row>
    <row r="30" spans="2:4" x14ac:dyDescent="0.25">
      <c r="B30" s="648" t="s">
        <v>1070</v>
      </c>
      <c r="C30" s="543" t="s">
        <v>449</v>
      </c>
      <c r="D30" s="543" t="s">
        <v>156</v>
      </c>
    </row>
    <row r="31" spans="2:4" x14ac:dyDescent="0.25">
      <c r="B31" s="648" t="s">
        <v>447</v>
      </c>
      <c r="C31" s="543" t="s">
        <v>456</v>
      </c>
      <c r="D31" s="543" t="s">
        <v>23</v>
      </c>
    </row>
    <row r="32" spans="2:4" x14ac:dyDescent="0.25">
      <c r="B32" s="648" t="s">
        <v>1071</v>
      </c>
      <c r="C32" s="543" t="s">
        <v>444</v>
      </c>
      <c r="D32" s="543" t="s">
        <v>375</v>
      </c>
    </row>
    <row r="33" spans="2:4" x14ac:dyDescent="0.25">
      <c r="B33" s="649" t="s">
        <v>1072</v>
      </c>
      <c r="C33" s="570" t="s">
        <v>456</v>
      </c>
      <c r="D33" s="570" t="s">
        <v>23</v>
      </c>
    </row>
    <row r="34" spans="2:4" x14ac:dyDescent="0.25">
      <c r="B34" s="648" t="s">
        <v>1073</v>
      </c>
      <c r="C34" s="543" t="s">
        <v>449</v>
      </c>
      <c r="D34" s="543" t="s">
        <v>156</v>
      </c>
    </row>
    <row r="35" spans="2:4" x14ac:dyDescent="0.25">
      <c r="B35" s="648" t="s">
        <v>437</v>
      </c>
      <c r="C35" s="543" t="s">
        <v>467</v>
      </c>
      <c r="D35" s="543" t="s">
        <v>153</v>
      </c>
    </row>
    <row r="36" spans="2:4" x14ac:dyDescent="0.25">
      <c r="B36" s="648" t="s">
        <v>437</v>
      </c>
      <c r="C36" s="543" t="s">
        <v>434</v>
      </c>
      <c r="D36" s="543" t="s">
        <v>153</v>
      </c>
    </row>
    <row r="37" spans="2:4" x14ac:dyDescent="0.25">
      <c r="B37" s="648" t="s">
        <v>1074</v>
      </c>
      <c r="C37" s="543" t="s">
        <v>434</v>
      </c>
      <c r="D37" s="543" t="s">
        <v>153</v>
      </c>
    </row>
    <row r="38" spans="2:4" x14ac:dyDescent="0.25">
      <c r="B38" s="648" t="s">
        <v>1074</v>
      </c>
      <c r="C38" s="543" t="s">
        <v>467</v>
      </c>
      <c r="D38" s="543" t="s">
        <v>153</v>
      </c>
    </row>
    <row r="39" spans="2:4" x14ac:dyDescent="0.25">
      <c r="B39" s="648" t="s">
        <v>1075</v>
      </c>
      <c r="C39" s="543" t="s">
        <v>467</v>
      </c>
      <c r="D39" s="543" t="s">
        <v>153</v>
      </c>
    </row>
    <row r="40" spans="2:4" x14ac:dyDescent="0.25">
      <c r="B40" s="648" t="s">
        <v>1075</v>
      </c>
      <c r="C40" s="543" t="s">
        <v>434</v>
      </c>
      <c r="D40" s="543" t="s">
        <v>153</v>
      </c>
    </row>
    <row r="41" spans="2:4" x14ac:dyDescent="0.25">
      <c r="B41" s="648" t="s">
        <v>1076</v>
      </c>
      <c r="C41" s="543" t="s">
        <v>449</v>
      </c>
      <c r="D41" s="543" t="s">
        <v>156</v>
      </c>
    </row>
    <row r="42" spans="2:4" x14ac:dyDescent="0.25">
      <c r="B42" s="648" t="s">
        <v>1077</v>
      </c>
      <c r="C42" s="543" t="s">
        <v>449</v>
      </c>
      <c r="D42" s="543" t="s">
        <v>156</v>
      </c>
    </row>
    <row r="43" spans="2:4" x14ac:dyDescent="0.25">
      <c r="B43" s="648" t="s">
        <v>1078</v>
      </c>
      <c r="C43" s="543" t="s">
        <v>662</v>
      </c>
      <c r="D43" s="543" t="s">
        <v>375</v>
      </c>
    </row>
    <row r="44" spans="2:4" x14ac:dyDescent="0.25">
      <c r="B44" s="648" t="s">
        <v>1078</v>
      </c>
      <c r="C44" s="543" t="s">
        <v>456</v>
      </c>
      <c r="D44" s="543" t="s">
        <v>23</v>
      </c>
    </row>
    <row r="45" spans="2:4" x14ac:dyDescent="0.25">
      <c r="B45" s="648" t="s">
        <v>1078</v>
      </c>
      <c r="C45" s="543" t="s">
        <v>449</v>
      </c>
      <c r="D45" s="543" t="s">
        <v>156</v>
      </c>
    </row>
    <row r="46" spans="2:4" x14ac:dyDescent="0.25">
      <c r="B46" s="648" t="s">
        <v>1079</v>
      </c>
      <c r="C46" s="543" t="s">
        <v>449</v>
      </c>
      <c r="D46" s="543" t="s">
        <v>156</v>
      </c>
    </row>
    <row r="47" spans="2:4" x14ac:dyDescent="0.25">
      <c r="B47" s="648" t="s">
        <v>1080</v>
      </c>
      <c r="C47" s="543" t="s">
        <v>562</v>
      </c>
      <c r="D47" s="543" t="s">
        <v>153</v>
      </c>
    </row>
    <row r="48" spans="2:4" x14ac:dyDescent="0.25">
      <c r="B48" s="648" t="s">
        <v>1081</v>
      </c>
      <c r="C48" s="543" t="s">
        <v>558</v>
      </c>
      <c r="D48" s="543" t="s">
        <v>153</v>
      </c>
    </row>
    <row r="49" spans="2:4" x14ac:dyDescent="0.25">
      <c r="B49" s="648" t="s">
        <v>1082</v>
      </c>
      <c r="C49" s="543" t="s">
        <v>558</v>
      </c>
      <c r="D49" s="543" t="s">
        <v>153</v>
      </c>
    </row>
    <row r="50" spans="2:4" x14ac:dyDescent="0.25">
      <c r="B50" s="648" t="s">
        <v>1083</v>
      </c>
      <c r="C50" s="543" t="s">
        <v>558</v>
      </c>
      <c r="D50" s="543" t="s">
        <v>153</v>
      </c>
    </row>
    <row r="51" spans="2:4" x14ac:dyDescent="0.25">
      <c r="B51" s="648" t="s">
        <v>1084</v>
      </c>
      <c r="C51" s="543" t="s">
        <v>558</v>
      </c>
      <c r="D51" s="543" t="s">
        <v>153</v>
      </c>
    </row>
    <row r="52" spans="2:4" x14ac:dyDescent="0.25">
      <c r="B52" s="648" t="s">
        <v>1085</v>
      </c>
      <c r="C52" s="543" t="s">
        <v>558</v>
      </c>
      <c r="D52" s="543" t="s">
        <v>153</v>
      </c>
    </row>
    <row r="53" spans="2:4" x14ac:dyDescent="0.25">
      <c r="B53" s="648" t="s">
        <v>1086</v>
      </c>
      <c r="C53" s="543" t="s">
        <v>558</v>
      </c>
      <c r="D53" s="543" t="s">
        <v>153</v>
      </c>
    </row>
    <row r="54" spans="2:4" x14ac:dyDescent="0.25">
      <c r="B54" s="648" t="s">
        <v>1087</v>
      </c>
      <c r="C54" s="543" t="s">
        <v>577</v>
      </c>
      <c r="D54" s="543" t="s">
        <v>153</v>
      </c>
    </row>
    <row r="55" spans="2:4" x14ac:dyDescent="0.25">
      <c r="B55" s="648" t="s">
        <v>1088</v>
      </c>
      <c r="C55" s="543" t="s">
        <v>577</v>
      </c>
      <c r="D55" s="543" t="s">
        <v>153</v>
      </c>
    </row>
    <row r="56" spans="2:4" x14ac:dyDescent="0.25">
      <c r="B56" s="648" t="s">
        <v>1089</v>
      </c>
      <c r="C56" s="543" t="s">
        <v>577</v>
      </c>
      <c r="D56" s="543" t="s">
        <v>153</v>
      </c>
    </row>
    <row r="57" spans="2:4" x14ac:dyDescent="0.25">
      <c r="B57" s="648" t="s">
        <v>1090</v>
      </c>
      <c r="C57" s="543" t="s">
        <v>577</v>
      </c>
      <c r="D57" s="543" t="s">
        <v>153</v>
      </c>
    </row>
    <row r="58" spans="2:4" x14ac:dyDescent="0.25">
      <c r="B58" s="648" t="s">
        <v>1090</v>
      </c>
      <c r="C58" s="543" t="s">
        <v>1091</v>
      </c>
      <c r="D58" s="543" t="s">
        <v>153</v>
      </c>
    </row>
    <row r="59" spans="2:4" x14ac:dyDescent="0.25">
      <c r="B59" s="648" t="s">
        <v>1092</v>
      </c>
      <c r="C59" s="543" t="s">
        <v>577</v>
      </c>
      <c r="D59" s="543" t="s">
        <v>153</v>
      </c>
    </row>
    <row r="60" spans="2:4" x14ac:dyDescent="0.25">
      <c r="B60" s="648" t="s">
        <v>1092</v>
      </c>
      <c r="C60" s="543" t="s">
        <v>444</v>
      </c>
      <c r="D60" s="543" t="s">
        <v>375</v>
      </c>
    </row>
    <row r="61" spans="2:4" x14ac:dyDescent="0.25">
      <c r="B61" s="648" t="s">
        <v>1092</v>
      </c>
      <c r="C61" s="543" t="s">
        <v>439</v>
      </c>
      <c r="D61" s="543" t="s">
        <v>375</v>
      </c>
    </row>
    <row r="62" spans="2:4" x14ac:dyDescent="0.25">
      <c r="B62" s="648" t="s">
        <v>1092</v>
      </c>
      <c r="C62" s="543" t="s">
        <v>453</v>
      </c>
      <c r="D62" s="543" t="s">
        <v>23</v>
      </c>
    </row>
    <row r="63" spans="2:4" x14ac:dyDescent="0.25">
      <c r="B63" s="648" t="s">
        <v>1093</v>
      </c>
      <c r="C63" s="543" t="s">
        <v>577</v>
      </c>
      <c r="D63" s="543" t="s">
        <v>153</v>
      </c>
    </row>
    <row r="64" spans="2:4" x14ac:dyDescent="0.25">
      <c r="B64" s="648" t="s">
        <v>1093</v>
      </c>
      <c r="C64" s="573" t="s">
        <v>490</v>
      </c>
      <c r="D64" s="543" t="s">
        <v>153</v>
      </c>
    </row>
    <row r="65" spans="2:4" x14ac:dyDescent="0.25">
      <c r="B65" s="648" t="s">
        <v>1094</v>
      </c>
      <c r="C65" s="543" t="s">
        <v>1095</v>
      </c>
      <c r="D65" s="543" t="s">
        <v>375</v>
      </c>
    </row>
    <row r="66" spans="2:4" x14ac:dyDescent="0.25">
      <c r="B66" s="648" t="s">
        <v>1094</v>
      </c>
      <c r="C66" s="543" t="s">
        <v>1096</v>
      </c>
      <c r="D66" s="543" t="s">
        <v>23</v>
      </c>
    </row>
    <row r="67" spans="2:4" x14ac:dyDescent="0.25">
      <c r="B67" s="648" t="s">
        <v>1094</v>
      </c>
      <c r="C67" s="543" t="s">
        <v>526</v>
      </c>
      <c r="D67" s="543" t="s">
        <v>153</v>
      </c>
    </row>
    <row r="68" spans="2:4" x14ac:dyDescent="0.25">
      <c r="B68" s="648" t="s">
        <v>1094</v>
      </c>
      <c r="C68" s="543" t="s">
        <v>529</v>
      </c>
      <c r="D68" s="543" t="s">
        <v>153</v>
      </c>
    </row>
    <row r="69" spans="2:4" x14ac:dyDescent="0.25">
      <c r="B69" s="648" t="s">
        <v>1094</v>
      </c>
      <c r="C69" s="543" t="s">
        <v>532</v>
      </c>
      <c r="D69" s="543" t="s">
        <v>153</v>
      </c>
    </row>
    <row r="70" spans="2:4" x14ac:dyDescent="0.25">
      <c r="B70" s="648" t="s">
        <v>1094</v>
      </c>
      <c r="C70" s="543" t="s">
        <v>535</v>
      </c>
      <c r="D70" s="543" t="s">
        <v>153</v>
      </c>
    </row>
    <row r="71" spans="2:4" x14ac:dyDescent="0.25">
      <c r="B71" s="648" t="s">
        <v>1094</v>
      </c>
      <c r="C71" s="543" t="s">
        <v>538</v>
      </c>
      <c r="D71" s="543" t="s">
        <v>153</v>
      </c>
    </row>
    <row r="72" spans="2:4" x14ac:dyDescent="0.25">
      <c r="B72" s="648" t="s">
        <v>1094</v>
      </c>
      <c r="C72" s="543" t="s">
        <v>1097</v>
      </c>
      <c r="D72" s="543" t="s">
        <v>153</v>
      </c>
    </row>
    <row r="73" spans="2:4" x14ac:dyDescent="0.25">
      <c r="B73" s="648" t="s">
        <v>1094</v>
      </c>
      <c r="C73" s="543" t="s">
        <v>1098</v>
      </c>
      <c r="D73" s="543" t="s">
        <v>23</v>
      </c>
    </row>
    <row r="74" spans="2:4" x14ac:dyDescent="0.25">
      <c r="B74" s="648" t="s">
        <v>1094</v>
      </c>
      <c r="C74" s="543" t="s">
        <v>1099</v>
      </c>
      <c r="D74" s="543" t="s">
        <v>23</v>
      </c>
    </row>
    <row r="75" spans="2:4" x14ac:dyDescent="0.25">
      <c r="B75" s="648" t="s">
        <v>1094</v>
      </c>
      <c r="C75" s="543" t="s">
        <v>550</v>
      </c>
      <c r="D75" s="543" t="s">
        <v>153</v>
      </c>
    </row>
    <row r="76" spans="2:4" x14ac:dyDescent="0.25">
      <c r="B76" s="648" t="s">
        <v>1100</v>
      </c>
      <c r="C76" s="543" t="s">
        <v>490</v>
      </c>
      <c r="D76" s="543" t="s">
        <v>153</v>
      </c>
    </row>
    <row r="77" spans="2:4" x14ac:dyDescent="0.25">
      <c r="B77" s="648" t="s">
        <v>1100</v>
      </c>
      <c r="C77" s="543" t="s">
        <v>515</v>
      </c>
      <c r="D77" s="543" t="s">
        <v>153</v>
      </c>
    </row>
    <row r="78" spans="2:4" x14ac:dyDescent="0.25">
      <c r="B78" s="648" t="s">
        <v>1101</v>
      </c>
      <c r="C78" s="543" t="s">
        <v>490</v>
      </c>
      <c r="D78" s="543" t="s">
        <v>153</v>
      </c>
    </row>
    <row r="79" spans="2:4" x14ac:dyDescent="0.25">
      <c r="B79" s="648" t="s">
        <v>1101</v>
      </c>
      <c r="C79" s="543" t="s">
        <v>515</v>
      </c>
      <c r="D79" s="543" t="s">
        <v>153</v>
      </c>
    </row>
    <row r="80" spans="2:4" x14ac:dyDescent="0.25">
      <c r="B80" s="648" t="s">
        <v>1102</v>
      </c>
      <c r="C80" s="543" t="s">
        <v>490</v>
      </c>
      <c r="D80" s="543" t="s">
        <v>153</v>
      </c>
    </row>
    <row r="81" spans="2:4" x14ac:dyDescent="0.25">
      <c r="B81" s="648" t="s">
        <v>1102</v>
      </c>
      <c r="C81" s="543" t="s">
        <v>515</v>
      </c>
      <c r="D81" s="543" t="s">
        <v>153</v>
      </c>
    </row>
    <row r="82" spans="2:4" x14ac:dyDescent="0.25">
      <c r="B82" s="648" t="s">
        <v>1103</v>
      </c>
      <c r="C82" s="543" t="s">
        <v>490</v>
      </c>
      <c r="D82" s="543" t="s">
        <v>153</v>
      </c>
    </row>
    <row r="83" spans="2:4" x14ac:dyDescent="0.25">
      <c r="B83" s="648" t="s">
        <v>1103</v>
      </c>
      <c r="C83" s="543" t="s">
        <v>515</v>
      </c>
      <c r="D83" s="543" t="s">
        <v>153</v>
      </c>
    </row>
    <row r="84" spans="2:4" x14ac:dyDescent="0.25">
      <c r="B84" s="648" t="s">
        <v>1104</v>
      </c>
      <c r="C84" s="543" t="s">
        <v>490</v>
      </c>
      <c r="D84" s="543" t="s">
        <v>153</v>
      </c>
    </row>
    <row r="85" spans="2:4" x14ac:dyDescent="0.25">
      <c r="B85" s="648" t="s">
        <v>1104</v>
      </c>
      <c r="C85" s="543" t="s">
        <v>515</v>
      </c>
      <c r="D85" s="543" t="s">
        <v>153</v>
      </c>
    </row>
    <row r="86" spans="2:4" x14ac:dyDescent="0.25">
      <c r="B86" s="648" t="s">
        <v>1105</v>
      </c>
      <c r="C86" s="543" t="s">
        <v>500</v>
      </c>
      <c r="D86" s="543" t="s">
        <v>375</v>
      </c>
    </row>
    <row r="87" spans="2:4" x14ac:dyDescent="0.25">
      <c r="B87" s="648" t="s">
        <v>1106</v>
      </c>
      <c r="C87" s="543" t="s">
        <v>490</v>
      </c>
      <c r="D87" s="543" t="s">
        <v>153</v>
      </c>
    </row>
    <row r="88" spans="2:4" x14ac:dyDescent="0.25">
      <c r="B88" s="648" t="s">
        <v>1107</v>
      </c>
      <c r="C88" s="543" t="s">
        <v>490</v>
      </c>
      <c r="D88" s="543" t="s">
        <v>153</v>
      </c>
    </row>
    <row r="89" spans="2:4" x14ac:dyDescent="0.25">
      <c r="B89" s="648" t="s">
        <v>1106</v>
      </c>
      <c r="C89" s="543" t="s">
        <v>515</v>
      </c>
      <c r="D89" s="543" t="s">
        <v>153</v>
      </c>
    </row>
    <row r="90" spans="2:4" x14ac:dyDescent="0.25">
      <c r="B90" s="648" t="s">
        <v>1107</v>
      </c>
      <c r="C90" s="543" t="s">
        <v>515</v>
      </c>
      <c r="D90" s="543" t="s">
        <v>153</v>
      </c>
    </row>
    <row r="91" spans="2:4" x14ac:dyDescent="0.25">
      <c r="B91" s="648" t="s">
        <v>423</v>
      </c>
      <c r="C91" s="543" t="s">
        <v>424</v>
      </c>
      <c r="D91" s="543" t="s">
        <v>156</v>
      </c>
    </row>
    <row r="92" spans="2:4" x14ac:dyDescent="0.25">
      <c r="B92" s="648" t="s">
        <v>1108</v>
      </c>
      <c r="C92" s="543" t="s">
        <v>424</v>
      </c>
      <c r="D92" s="543" t="s">
        <v>156</v>
      </c>
    </row>
    <row r="93" spans="2:4" x14ac:dyDescent="0.25">
      <c r="B93" s="648" t="s">
        <v>1109</v>
      </c>
      <c r="C93" s="543" t="s">
        <v>424</v>
      </c>
      <c r="D93" s="543" t="s">
        <v>156</v>
      </c>
    </row>
    <row r="94" spans="2:4" x14ac:dyDescent="0.25">
      <c r="B94" s="648" t="s">
        <v>1110</v>
      </c>
      <c r="C94" s="573" t="s">
        <v>569</v>
      </c>
      <c r="D94" s="543" t="s">
        <v>153</v>
      </c>
    </row>
    <row r="95" spans="2:4" x14ac:dyDescent="0.25">
      <c r="B95" s="648" t="s">
        <v>1111</v>
      </c>
      <c r="C95" s="543" t="s">
        <v>424</v>
      </c>
      <c r="D95" s="543" t="s">
        <v>23</v>
      </c>
    </row>
    <row r="96" spans="2:4" x14ac:dyDescent="0.25">
      <c r="B96" s="648" t="s">
        <v>1112</v>
      </c>
      <c r="C96" s="573" t="s">
        <v>565</v>
      </c>
      <c r="D96" s="543" t="s">
        <v>156</v>
      </c>
    </row>
    <row r="97" spans="2:4" x14ac:dyDescent="0.25">
      <c r="B97" s="648" t="s">
        <v>1113</v>
      </c>
      <c r="C97" s="573" t="s">
        <v>565</v>
      </c>
      <c r="D97" s="543" t="s">
        <v>156</v>
      </c>
    </row>
    <row r="98" spans="2:4" x14ac:dyDescent="0.25">
      <c r="B98" s="648" t="s">
        <v>643</v>
      </c>
      <c r="C98" s="543" t="s">
        <v>655</v>
      </c>
      <c r="D98" s="543" t="s">
        <v>375</v>
      </c>
    </row>
    <row r="99" spans="2:4" x14ac:dyDescent="0.25">
      <c r="B99" s="648" t="s">
        <v>1114</v>
      </c>
      <c r="C99" s="543" t="s">
        <v>655</v>
      </c>
      <c r="D99" s="543" t="s">
        <v>375</v>
      </c>
    </row>
    <row r="100" spans="2:4" x14ac:dyDescent="0.25">
      <c r="B100" s="648" t="s">
        <v>640</v>
      </c>
      <c r="C100" s="543" t="s">
        <v>641</v>
      </c>
      <c r="D100" s="543" t="s">
        <v>375</v>
      </c>
    </row>
    <row r="101" spans="2:4" x14ac:dyDescent="0.25">
      <c r="B101" s="648" t="s">
        <v>1115</v>
      </c>
      <c r="C101" s="543" t="s">
        <v>655</v>
      </c>
      <c r="D101" s="543" t="s">
        <v>375</v>
      </c>
    </row>
    <row r="102" spans="2:4" x14ac:dyDescent="0.25">
      <c r="B102" s="648" t="s">
        <v>1116</v>
      </c>
      <c r="C102" s="650" t="s">
        <v>668</v>
      </c>
      <c r="D102" s="543" t="s">
        <v>375</v>
      </c>
    </row>
    <row r="103" spans="2:4" x14ac:dyDescent="0.25">
      <c r="B103" s="648" t="s">
        <v>1117</v>
      </c>
      <c r="C103" s="543" t="s">
        <v>641</v>
      </c>
      <c r="D103" s="543" t="s">
        <v>375</v>
      </c>
    </row>
    <row r="104" spans="2:4" x14ac:dyDescent="0.25">
      <c r="B104" s="648" t="s">
        <v>1117</v>
      </c>
      <c r="C104" s="543" t="s">
        <v>655</v>
      </c>
      <c r="D104" s="543" t="s">
        <v>375</v>
      </c>
    </row>
    <row r="105" spans="2:4" x14ac:dyDescent="0.25">
      <c r="B105" s="648" t="s">
        <v>1118</v>
      </c>
      <c r="C105" s="543" t="s">
        <v>649</v>
      </c>
      <c r="D105" s="543" t="s">
        <v>375</v>
      </c>
    </row>
    <row r="106" spans="2:4" x14ac:dyDescent="0.25">
      <c r="B106" s="648" t="s">
        <v>1119</v>
      </c>
      <c r="C106" s="543" t="s">
        <v>649</v>
      </c>
      <c r="D106" s="543" t="s">
        <v>375</v>
      </c>
    </row>
    <row r="107" spans="2:4" x14ac:dyDescent="0.25">
      <c r="B107" s="648" t="s">
        <v>1120</v>
      </c>
      <c r="C107" s="543" t="s">
        <v>649</v>
      </c>
      <c r="D107" s="543" t="s">
        <v>375</v>
      </c>
    </row>
    <row r="108" spans="2:4" x14ac:dyDescent="0.25">
      <c r="B108" s="648" t="s">
        <v>1121</v>
      </c>
      <c r="C108" s="543" t="s">
        <v>649</v>
      </c>
      <c r="D108" s="543" t="s">
        <v>375</v>
      </c>
    </row>
    <row r="109" spans="2:4" x14ac:dyDescent="0.25">
      <c r="B109" s="648" t="s">
        <v>1122</v>
      </c>
      <c r="C109" s="543" t="s">
        <v>649</v>
      </c>
      <c r="D109" s="543" t="s">
        <v>375</v>
      </c>
    </row>
    <row r="110" spans="2:4" x14ac:dyDescent="0.25">
      <c r="B110" s="648" t="s">
        <v>1123</v>
      </c>
      <c r="C110" s="543" t="s">
        <v>1124</v>
      </c>
      <c r="D110" s="543" t="s">
        <v>375</v>
      </c>
    </row>
    <row r="111" spans="2:4" x14ac:dyDescent="0.25">
      <c r="B111" s="648" t="s">
        <v>1125</v>
      </c>
      <c r="C111" s="543" t="s">
        <v>1124</v>
      </c>
      <c r="D111" s="543" t="s">
        <v>375</v>
      </c>
    </row>
    <row r="112" spans="2:4" x14ac:dyDescent="0.25">
      <c r="B112" s="648" t="s">
        <v>1126</v>
      </c>
      <c r="C112" s="543" t="s">
        <v>1124</v>
      </c>
      <c r="D112" s="543" t="s">
        <v>375</v>
      </c>
    </row>
    <row r="113" spans="2:4" x14ac:dyDescent="0.25">
      <c r="B113" s="648" t="s">
        <v>1127</v>
      </c>
      <c r="C113" s="543" t="s">
        <v>645</v>
      </c>
      <c r="D113" s="543" t="s">
        <v>375</v>
      </c>
    </row>
    <row r="114" spans="2:4" x14ac:dyDescent="0.25">
      <c r="B114" s="648" t="s">
        <v>1128</v>
      </c>
      <c r="C114" s="543" t="s">
        <v>649</v>
      </c>
      <c r="D114" s="543" t="s">
        <v>375</v>
      </c>
    </row>
    <row r="115" spans="2:4" x14ac:dyDescent="0.25">
      <c r="B115" s="648" t="s">
        <v>1129</v>
      </c>
      <c r="C115" s="543" t="s">
        <v>649</v>
      </c>
      <c r="D115" s="543" t="s">
        <v>375</v>
      </c>
    </row>
    <row r="116" spans="2:4" x14ac:dyDescent="0.25">
      <c r="B116" s="648" t="s">
        <v>1129</v>
      </c>
      <c r="C116" s="573" t="s">
        <v>665</v>
      </c>
      <c r="D116" s="570" t="s">
        <v>153</v>
      </c>
    </row>
    <row r="117" spans="2:4" x14ac:dyDescent="0.25">
      <c r="B117" s="648" t="s">
        <v>1130</v>
      </c>
      <c r="C117" s="543" t="s">
        <v>1131</v>
      </c>
      <c r="D117" s="585"/>
    </row>
    <row r="118" spans="2:4" x14ac:dyDescent="0.25">
      <c r="B118" s="648" t="s">
        <v>1132</v>
      </c>
      <c r="C118" s="573" t="s">
        <v>665</v>
      </c>
      <c r="D118" s="570" t="s">
        <v>153</v>
      </c>
    </row>
    <row r="119" spans="2:4" x14ac:dyDescent="0.25">
      <c r="B119" s="648" t="s">
        <v>1133</v>
      </c>
      <c r="C119" s="543" t="s">
        <v>569</v>
      </c>
      <c r="D119" s="543" t="s">
        <v>153</v>
      </c>
    </row>
    <row r="120" spans="2:4" x14ac:dyDescent="0.25">
      <c r="B120" s="648" t="s">
        <v>1134</v>
      </c>
      <c r="C120" s="573" t="s">
        <v>582</v>
      </c>
      <c r="D120" s="543" t="s">
        <v>23</v>
      </c>
    </row>
    <row r="121" spans="2:4" x14ac:dyDescent="0.25">
      <c r="B121" s="648" t="s">
        <v>1135</v>
      </c>
      <c r="C121" s="543" t="s">
        <v>569</v>
      </c>
      <c r="D121" s="543" t="s">
        <v>153</v>
      </c>
    </row>
    <row r="122" spans="2:4" x14ac:dyDescent="0.25">
      <c r="B122" s="648" t="s">
        <v>1136</v>
      </c>
      <c r="C122" s="573" t="s">
        <v>582</v>
      </c>
      <c r="D122" s="543" t="s">
        <v>23</v>
      </c>
    </row>
    <row r="123" spans="2:4" x14ac:dyDescent="0.25">
      <c r="B123" s="648" t="s">
        <v>1137</v>
      </c>
      <c r="C123" s="543" t="s">
        <v>569</v>
      </c>
      <c r="D123" s="543" t="s">
        <v>153</v>
      </c>
    </row>
    <row r="124" spans="2:4" x14ac:dyDescent="0.25">
      <c r="B124" s="648" t="s">
        <v>1138</v>
      </c>
      <c r="C124" s="543" t="s">
        <v>569</v>
      </c>
      <c r="D124" s="543" t="s">
        <v>153</v>
      </c>
    </row>
    <row r="125" spans="2:4" x14ac:dyDescent="0.25">
      <c r="B125" s="648" t="s">
        <v>1139</v>
      </c>
      <c r="C125" s="543" t="s">
        <v>569</v>
      </c>
      <c r="D125" s="543" t="s">
        <v>153</v>
      </c>
    </row>
    <row r="126" spans="2:4" x14ac:dyDescent="0.25">
      <c r="B126" s="648" t="s">
        <v>1140</v>
      </c>
      <c r="C126" s="543" t="s">
        <v>569</v>
      </c>
      <c r="D126" s="543" t="s">
        <v>153</v>
      </c>
    </row>
    <row r="127" spans="2:4" x14ac:dyDescent="0.25">
      <c r="B127" s="648" t="s">
        <v>1141</v>
      </c>
      <c r="C127" s="543" t="s">
        <v>569</v>
      </c>
      <c r="D127" s="543" t="s">
        <v>153</v>
      </c>
    </row>
    <row r="128" spans="2:4" x14ac:dyDescent="0.25">
      <c r="B128" s="648" t="s">
        <v>573</v>
      </c>
      <c r="C128" s="543" t="s">
        <v>574</v>
      </c>
      <c r="D128" s="543" t="s">
        <v>375</v>
      </c>
    </row>
    <row r="129" spans="2:4" x14ac:dyDescent="0.25">
      <c r="B129" s="648" t="s">
        <v>1142</v>
      </c>
      <c r="C129" s="543" t="s">
        <v>582</v>
      </c>
      <c r="D129" s="543" t="s">
        <v>23</v>
      </c>
    </row>
    <row r="130" spans="2:4" x14ac:dyDescent="0.25">
      <c r="B130" s="648" t="s">
        <v>1143</v>
      </c>
      <c r="C130" s="543" t="s">
        <v>582</v>
      </c>
      <c r="D130" s="543" t="s">
        <v>23</v>
      </c>
    </row>
    <row r="131" spans="2:4" x14ac:dyDescent="0.25">
      <c r="B131" s="648" t="s">
        <v>1144</v>
      </c>
      <c r="C131" s="543" t="s">
        <v>582</v>
      </c>
      <c r="D131" s="543" t="s">
        <v>23</v>
      </c>
    </row>
    <row r="132" spans="2:4" x14ac:dyDescent="0.25">
      <c r="B132" s="648" t="s">
        <v>1145</v>
      </c>
      <c r="C132" s="543" t="s">
        <v>582</v>
      </c>
      <c r="D132" s="543" t="s">
        <v>23</v>
      </c>
    </row>
    <row r="133" spans="2:4" x14ac:dyDescent="0.25">
      <c r="B133" s="648" t="s">
        <v>1145</v>
      </c>
      <c r="C133" s="543" t="s">
        <v>582</v>
      </c>
      <c r="D133" s="543" t="s">
        <v>23</v>
      </c>
    </row>
    <row r="134" spans="2:4" x14ac:dyDescent="0.25">
      <c r="B134" s="648" t="s">
        <v>1145</v>
      </c>
      <c r="C134" s="543" t="s">
        <v>582</v>
      </c>
      <c r="D134" s="543" t="s">
        <v>23</v>
      </c>
    </row>
    <row r="135" spans="2:4" x14ac:dyDescent="0.25">
      <c r="B135" s="648" t="s">
        <v>1145</v>
      </c>
      <c r="C135" s="543" t="s">
        <v>582</v>
      </c>
      <c r="D135" s="543" t="s">
        <v>23</v>
      </c>
    </row>
    <row r="136" spans="2:4" x14ac:dyDescent="0.25">
      <c r="B136" s="648" t="s">
        <v>1145</v>
      </c>
      <c r="C136" s="543" t="s">
        <v>582</v>
      </c>
      <c r="D136" s="543" t="s">
        <v>23</v>
      </c>
    </row>
    <row r="137" spans="2:4" x14ac:dyDescent="0.25">
      <c r="B137" s="648" t="s">
        <v>1145</v>
      </c>
      <c r="C137" s="543" t="s">
        <v>582</v>
      </c>
      <c r="D137" s="543" t="s">
        <v>23</v>
      </c>
    </row>
    <row r="138" spans="2:4" x14ac:dyDescent="0.25">
      <c r="B138" s="648" t="s">
        <v>1146</v>
      </c>
      <c r="C138" s="543" t="s">
        <v>1147</v>
      </c>
      <c r="D138" s="543" t="s">
        <v>156</v>
      </c>
    </row>
    <row r="139" spans="2:4" x14ac:dyDescent="0.25">
      <c r="B139" s="648" t="s">
        <v>1148</v>
      </c>
      <c r="C139" s="543" t="s">
        <v>1147</v>
      </c>
      <c r="D139" s="543" t="s">
        <v>156</v>
      </c>
    </row>
    <row r="140" spans="2:4" x14ac:dyDescent="0.25">
      <c r="B140" s="648" t="s">
        <v>1149</v>
      </c>
      <c r="C140" s="543" t="s">
        <v>1147</v>
      </c>
      <c r="D140" s="543" t="s">
        <v>156</v>
      </c>
    </row>
    <row r="141" spans="2:4" x14ac:dyDescent="0.25">
      <c r="B141" s="648" t="s">
        <v>1150</v>
      </c>
      <c r="C141" s="543" t="s">
        <v>587</v>
      </c>
      <c r="D141" s="543" t="s">
        <v>397</v>
      </c>
    </row>
    <row r="142" spans="2:4" x14ac:dyDescent="0.25">
      <c r="B142" s="648" t="s">
        <v>1151</v>
      </c>
      <c r="C142" s="543" t="s">
        <v>395</v>
      </c>
      <c r="D142" s="543" t="s">
        <v>156</v>
      </c>
    </row>
    <row r="143" spans="2:4" x14ac:dyDescent="0.25">
      <c r="B143" s="648" t="s">
        <v>1152</v>
      </c>
      <c r="C143" s="543" t="s">
        <v>395</v>
      </c>
      <c r="D143" s="543" t="s">
        <v>156</v>
      </c>
    </row>
    <row r="144" spans="2:4" x14ac:dyDescent="0.25">
      <c r="B144" s="648" t="s">
        <v>1153</v>
      </c>
      <c r="C144" s="543" t="s">
        <v>449</v>
      </c>
      <c r="D144" s="543" t="s">
        <v>156</v>
      </c>
    </row>
    <row r="145" spans="2:4" x14ac:dyDescent="0.25">
      <c r="B145" s="648" t="s">
        <v>1154</v>
      </c>
      <c r="C145" s="573" t="s">
        <v>565</v>
      </c>
      <c r="D145" s="543" t="s">
        <v>156</v>
      </c>
    </row>
    <row r="146" spans="2:4" x14ac:dyDescent="0.25">
      <c r="B146" s="648" t="s">
        <v>615</v>
      </c>
      <c r="C146" s="543" t="s">
        <v>616</v>
      </c>
      <c r="D146" s="543" t="s">
        <v>156</v>
      </c>
    </row>
    <row r="147" spans="2:4" x14ac:dyDescent="0.25">
      <c r="B147" s="648" t="s">
        <v>1155</v>
      </c>
      <c r="C147" s="543" t="s">
        <v>595</v>
      </c>
      <c r="D147" s="543" t="s">
        <v>397</v>
      </c>
    </row>
    <row r="148" spans="2:4" x14ac:dyDescent="0.25">
      <c r="B148" s="648" t="s">
        <v>1156</v>
      </c>
      <c r="C148" s="543" t="s">
        <v>595</v>
      </c>
      <c r="D148" s="543" t="s">
        <v>397</v>
      </c>
    </row>
    <row r="149" spans="2:4" x14ac:dyDescent="0.25">
      <c r="B149" s="648" t="s">
        <v>1157</v>
      </c>
      <c r="C149" s="543" t="s">
        <v>600</v>
      </c>
      <c r="D149" s="543" t="s">
        <v>397</v>
      </c>
    </row>
    <row r="150" spans="2:4" x14ac:dyDescent="0.25">
      <c r="B150" s="648" t="s">
        <v>1158</v>
      </c>
      <c r="C150" s="543" t="s">
        <v>600</v>
      </c>
      <c r="D150" s="543" t="s">
        <v>397</v>
      </c>
    </row>
    <row r="151" spans="2:4" x14ac:dyDescent="0.25">
      <c r="B151" s="648" t="s">
        <v>1159</v>
      </c>
      <c r="C151" s="543" t="s">
        <v>600</v>
      </c>
      <c r="D151" s="543" t="s">
        <v>397</v>
      </c>
    </row>
    <row r="152" spans="2:4" x14ac:dyDescent="0.25">
      <c r="B152" s="648" t="s">
        <v>1160</v>
      </c>
      <c r="C152" s="543" t="s">
        <v>600</v>
      </c>
      <c r="D152" s="543" t="s">
        <v>397</v>
      </c>
    </row>
    <row r="153" spans="2:4" x14ac:dyDescent="0.25">
      <c r="B153" s="648" t="s">
        <v>1161</v>
      </c>
      <c r="C153" s="543" t="s">
        <v>636</v>
      </c>
      <c r="D153" s="543" t="s">
        <v>156</v>
      </c>
    </row>
    <row r="154" spans="2:4" x14ac:dyDescent="0.25"/>
    <row r="155" spans="2:4" x14ac:dyDescent="0.25"/>
    <row r="156" spans="2:4" x14ac:dyDescent="0.25"/>
    <row r="157" spans="2:4" x14ac:dyDescent="0.25"/>
    <row r="158" spans="2:4" x14ac:dyDescent="0.25">
      <c r="B158" s="306"/>
    </row>
    <row r="159" spans="2:4" x14ac:dyDescent="0.25">
      <c r="B159" s="306"/>
    </row>
    <row r="160" spans="2:4" x14ac:dyDescent="0.25">
      <c r="B160" s="306"/>
    </row>
    <row r="161" spans="2:2" x14ac:dyDescent="0.25">
      <c r="B161" s="306"/>
    </row>
    <row r="162" spans="2:2" x14ac:dyDescent="0.25">
      <c r="B162" s="306"/>
    </row>
    <row r="163" spans="2:2" x14ac:dyDescent="0.25">
      <c r="B163" s="306"/>
    </row>
    <row r="164" spans="2:2" hidden="1" x14ac:dyDescent="0.25">
      <c r="B164" s="306"/>
    </row>
    <row r="165" spans="2:2" hidden="1" x14ac:dyDescent="0.25">
      <c r="B165" s="306"/>
    </row>
    <row r="166" spans="2:2" hidden="1" x14ac:dyDescent="0.25">
      <c r="B166" s="306"/>
    </row>
    <row r="167" spans="2:2" hidden="1" x14ac:dyDescent="0.25">
      <c r="B167" s="306"/>
    </row>
    <row r="168" spans="2:2" hidden="1" x14ac:dyDescent="0.25">
      <c r="B168" s="306"/>
    </row>
    <row r="169" spans="2:2" hidden="1" x14ac:dyDescent="0.25">
      <c r="B169" s="306"/>
    </row>
    <row r="170" spans="2:2" hidden="1" x14ac:dyDescent="0.25">
      <c r="B170" s="306"/>
    </row>
    <row r="171" spans="2:2" hidden="1" x14ac:dyDescent="0.25">
      <c r="B171" s="306"/>
    </row>
    <row r="172" spans="2:2" hidden="1" x14ac:dyDescent="0.25">
      <c r="B172" s="306"/>
    </row>
    <row r="173" spans="2:2" hidden="1" x14ac:dyDescent="0.25">
      <c r="B173" s="306"/>
    </row>
    <row r="174" spans="2:2" hidden="1" x14ac:dyDescent="0.25">
      <c r="B174" s="306"/>
    </row>
    <row r="175" spans="2:2" hidden="1" x14ac:dyDescent="0.25">
      <c r="B175" s="306"/>
    </row>
    <row r="176" spans="2:2" hidden="1" x14ac:dyDescent="0.25">
      <c r="B176" s="306"/>
    </row>
    <row r="177" spans="2:2" hidden="1" x14ac:dyDescent="0.25">
      <c r="B177" s="306"/>
    </row>
    <row r="178" spans="2:2" hidden="1" x14ac:dyDescent="0.25">
      <c r="B178" s="306"/>
    </row>
    <row r="179" spans="2:2" hidden="1" x14ac:dyDescent="0.25">
      <c r="B179" s="306"/>
    </row>
    <row r="180" spans="2:2" hidden="1" x14ac:dyDescent="0.25">
      <c r="B180" s="306"/>
    </row>
    <row r="181" spans="2:2" hidden="1" x14ac:dyDescent="0.25">
      <c r="B181" s="306"/>
    </row>
    <row r="182" spans="2:2" hidden="1" x14ac:dyDescent="0.25">
      <c r="B182" s="306"/>
    </row>
    <row r="183" spans="2:2" hidden="1" x14ac:dyDescent="0.25">
      <c r="B183" s="306"/>
    </row>
    <row r="184" spans="2:2" hidden="1" x14ac:dyDescent="0.25">
      <c r="B184" s="306"/>
    </row>
    <row r="185" spans="2:2" hidden="1" x14ac:dyDescent="0.25">
      <c r="B185" s="306"/>
    </row>
    <row r="186" spans="2:2" hidden="1" x14ac:dyDescent="0.25">
      <c r="B186" s="306"/>
    </row>
    <row r="187" spans="2:2" hidden="1" x14ac:dyDescent="0.25">
      <c r="B187" s="306"/>
    </row>
    <row r="188" spans="2:2" hidden="1" x14ac:dyDescent="0.25">
      <c r="B188" s="306"/>
    </row>
    <row r="189" spans="2:2" hidden="1" x14ac:dyDescent="0.25">
      <c r="B189" s="306"/>
    </row>
    <row r="190" spans="2:2" hidden="1" x14ac:dyDescent="0.25">
      <c r="B190" s="306"/>
    </row>
    <row r="191" spans="2:2" hidden="1" x14ac:dyDescent="0.25">
      <c r="B191" s="306"/>
    </row>
    <row r="192" spans="2:2" hidden="1" x14ac:dyDescent="0.25">
      <c r="B192" s="306"/>
    </row>
    <row r="193" spans="2:2" hidden="1" x14ac:dyDescent="0.25">
      <c r="B193" s="306"/>
    </row>
    <row r="194" spans="2:2" hidden="1" x14ac:dyDescent="0.25">
      <c r="B194" s="306"/>
    </row>
    <row r="195" spans="2:2" hidden="1" x14ac:dyDescent="0.25">
      <c r="B195" s="306"/>
    </row>
    <row r="196" spans="2:2" hidden="1" x14ac:dyDescent="0.25">
      <c r="B196" s="306"/>
    </row>
    <row r="197" spans="2:2" hidden="1" x14ac:dyDescent="0.25">
      <c r="B197" s="306"/>
    </row>
    <row r="198" spans="2:2" hidden="1" x14ac:dyDescent="0.25">
      <c r="B198" s="306"/>
    </row>
    <row r="199" spans="2:2" hidden="1" x14ac:dyDescent="0.25">
      <c r="B199" s="306"/>
    </row>
    <row r="200" spans="2:2" hidden="1" x14ac:dyDescent="0.25">
      <c r="B200" s="306"/>
    </row>
    <row r="201" spans="2:2" hidden="1" x14ac:dyDescent="0.25">
      <c r="B201" s="306"/>
    </row>
    <row r="202" spans="2:2" hidden="1" x14ac:dyDescent="0.25">
      <c r="B202" s="306"/>
    </row>
    <row r="203" spans="2:2" hidden="1" x14ac:dyDescent="0.25">
      <c r="B203" s="306"/>
    </row>
    <row r="204" spans="2:2" hidden="1" x14ac:dyDescent="0.25">
      <c r="B204" s="306"/>
    </row>
    <row r="205" spans="2:2" hidden="1" x14ac:dyDescent="0.25">
      <c r="B205" s="306"/>
    </row>
    <row r="206" spans="2:2" hidden="1" x14ac:dyDescent="0.25">
      <c r="B206" s="306"/>
    </row>
    <row r="207" spans="2:2" hidden="1" x14ac:dyDescent="0.25">
      <c r="B207" s="306"/>
    </row>
    <row r="208" spans="2:2" hidden="1" x14ac:dyDescent="0.25">
      <c r="B208" s="306"/>
    </row>
    <row r="209" spans="2:2" hidden="1" x14ac:dyDescent="0.25">
      <c r="B209" s="306"/>
    </row>
    <row r="210" spans="2:2" hidden="1" x14ac:dyDescent="0.25">
      <c r="B210" s="306"/>
    </row>
    <row r="211" spans="2:2" hidden="1" x14ac:dyDescent="0.2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2"/>
      <c r="G1" s="712"/>
      <c r="H1" s="712"/>
      <c r="I1" s="712"/>
      <c r="J1" s="712"/>
      <c r="K1" s="713"/>
      <c r="L1" s="713"/>
      <c r="M1" s="713"/>
      <c r="N1" s="713"/>
      <c r="O1" s="713"/>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4"/>
      <c r="E10" s="1084"/>
      <c r="F10" s="1084"/>
      <c r="G10" s="1084"/>
      <c r="H10" s="1084"/>
      <c r="I10" s="1084"/>
      <c r="J10" s="1084"/>
      <c r="K10" s="1084"/>
      <c r="L10" s="1084"/>
      <c r="M10" s="108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x14ac:dyDescent="0.25">
      <c r="A1" s="308" t="s">
        <v>1162</v>
      </c>
      <c r="B1" s="309" t="s">
        <v>1163</v>
      </c>
      <c r="D1" s="278" t="s">
        <v>1164</v>
      </c>
    </row>
    <row r="2" spans="1:4" x14ac:dyDescent="0.25">
      <c r="A2" s="658" t="s">
        <v>1165</v>
      </c>
      <c r="B2" s="659" t="s">
        <v>1166</v>
      </c>
      <c r="D2" s="658" t="str">
        <f>'G-1 All Habitats'!B3</f>
        <v>Cropland - Arable field margins cultivated annually</v>
      </c>
    </row>
    <row r="3" spans="1:4" x14ac:dyDescent="0.25">
      <c r="A3" s="658" t="s">
        <v>1167</v>
      </c>
      <c r="B3" s="659" t="s">
        <v>1168</v>
      </c>
      <c r="D3" s="658" t="str">
        <f>'G-1 All Habitats'!B4</f>
        <v>Cropland - Arable field margins game bird mix</v>
      </c>
    </row>
    <row r="4" spans="1:4" x14ac:dyDescent="0.25">
      <c r="A4" s="658" t="s">
        <v>1169</v>
      </c>
      <c r="B4" s="659" t="s">
        <v>1170</v>
      </c>
      <c r="D4" s="658" t="str">
        <f>'G-1 All Habitats'!B5</f>
        <v>Cropland - Arable field margins pollen &amp; nectar</v>
      </c>
    </row>
    <row r="5" spans="1:4" x14ac:dyDescent="0.25">
      <c r="A5" s="658" t="s">
        <v>1171</v>
      </c>
      <c r="B5" s="659" t="s">
        <v>1172</v>
      </c>
      <c r="D5" s="658" t="str">
        <f>'G-1 All Habitats'!B6</f>
        <v>Cropland - Arable field margins tussocky</v>
      </c>
    </row>
    <row r="6" spans="1:4" x14ac:dyDescent="0.25">
      <c r="A6" s="658" t="s">
        <v>1173</v>
      </c>
      <c r="B6" s="659" t="s">
        <v>1174</v>
      </c>
      <c r="D6" s="658" t="str">
        <f>'G-1 All Habitats'!B7</f>
        <v>Cropland - Cereal crops</v>
      </c>
    </row>
    <row r="7" spans="1:4" x14ac:dyDescent="0.25">
      <c r="A7" s="658" t="s">
        <v>1175</v>
      </c>
      <c r="B7" s="659" t="s">
        <v>1176</v>
      </c>
      <c r="D7" s="658" t="e">
        <f>'G-1 All Habitats'!#REF!</f>
        <v>#REF!</v>
      </c>
    </row>
    <row r="8" spans="1:4" x14ac:dyDescent="0.25">
      <c r="A8" s="658" t="s">
        <v>1177</v>
      </c>
      <c r="B8" s="659" t="s">
        <v>1178</v>
      </c>
      <c r="D8" s="658" t="str">
        <f>'G-1 All Habitats'!B8</f>
        <v>Cropland - Cereal crops winter stubble</v>
      </c>
    </row>
    <row r="9" spans="1:4" x14ac:dyDescent="0.25">
      <c r="A9" s="658" t="s">
        <v>1179</v>
      </c>
      <c r="B9" s="659" t="s">
        <v>1180</v>
      </c>
      <c r="D9" s="658" t="str">
        <f>'G-1 All Habitats'!B9</f>
        <v>Cropland - Horticulture</v>
      </c>
    </row>
    <row r="10" spans="1:4" x14ac:dyDescent="0.25">
      <c r="A10" s="658" t="s">
        <v>1181</v>
      </c>
      <c r="B10" s="659" t="s">
        <v>1182</v>
      </c>
      <c r="D10" s="658" t="str">
        <f>'G-1 All Habitats'!B10</f>
        <v>Cropland - Intensive orchards</v>
      </c>
    </row>
    <row r="11" spans="1:4" x14ac:dyDescent="0.25">
      <c r="A11" s="658" t="s">
        <v>1183</v>
      </c>
      <c r="B11" s="659" t="s">
        <v>1184</v>
      </c>
      <c r="D11" s="658" t="str">
        <f>'G-1 All Habitats'!B11</f>
        <v>Cropland - Non-cereal crops</v>
      </c>
    </row>
    <row r="12" spans="1:4" x14ac:dyDescent="0.25">
      <c r="A12" s="658" t="s">
        <v>1185</v>
      </c>
      <c r="B12" s="659" t="s">
        <v>1186</v>
      </c>
      <c r="D12" s="658" t="str">
        <f>'G-1 All Habitats'!B12</f>
        <v>Cropland - Temporary grass and clover leys</v>
      </c>
    </row>
    <row r="13" spans="1:4" x14ac:dyDescent="0.25">
      <c r="A13" s="658" t="s">
        <v>1187</v>
      </c>
      <c r="B13" s="659" t="s">
        <v>1188</v>
      </c>
      <c r="D13" s="658" t="str">
        <f>'G-1 All Habitats'!B13</f>
        <v>Grassland - Traditional orchards</v>
      </c>
    </row>
    <row r="14" spans="1:4" x14ac:dyDescent="0.25">
      <c r="A14" s="658" t="s">
        <v>1189</v>
      </c>
      <c r="B14" s="659" t="s">
        <v>1190</v>
      </c>
      <c r="D14" s="658" t="str">
        <f>'G-1 All Habitats'!B14</f>
        <v>Grassland - Bracken</v>
      </c>
    </row>
    <row r="15" spans="1:4" x14ac:dyDescent="0.25">
      <c r="A15" s="658" t="s">
        <v>1191</v>
      </c>
      <c r="B15" s="659" t="s">
        <v>1192</v>
      </c>
      <c r="D15" s="658" t="str">
        <f>'G-1 All Habitats'!B15</f>
        <v>Grassland - Floodplain Wetland Mosaic (CFGM)</v>
      </c>
    </row>
    <row r="16" spans="1:4" x14ac:dyDescent="0.25">
      <c r="A16" s="658" t="s">
        <v>1193</v>
      </c>
      <c r="B16" s="659" t="s">
        <v>1194</v>
      </c>
      <c r="D16" s="658" t="str">
        <f>'G-1 All Habitats'!B16</f>
        <v>Grassland - Lowland calcareous grassland</v>
      </c>
    </row>
    <row r="17" spans="1:4" x14ac:dyDescent="0.25">
      <c r="A17" s="658" t="s">
        <v>1195</v>
      </c>
      <c r="D17" s="658" t="str">
        <f>'G-1 All Habitats'!B17</f>
        <v>Grassland - Lowland dry acid grassland</v>
      </c>
    </row>
    <row r="18" spans="1:4" x14ac:dyDescent="0.25">
      <c r="A18" s="658" t="s">
        <v>1196</v>
      </c>
      <c r="D18" s="658" t="str">
        <f>'G-1 All Habitats'!B18</f>
        <v>Grassland - Lowland meadows</v>
      </c>
    </row>
    <row r="19" spans="1:4" x14ac:dyDescent="0.25">
      <c r="A19" s="658" t="s">
        <v>1197</v>
      </c>
      <c r="D19" s="658" t="str">
        <f>'G-1 All Habitats'!B19</f>
        <v>Grassland - Modified grassland</v>
      </c>
    </row>
    <row r="20" spans="1:4" x14ac:dyDescent="0.25">
      <c r="A20" s="658" t="s">
        <v>1198</v>
      </c>
      <c r="D20" s="658" t="str">
        <f>'G-1 All Habitats'!B20</f>
        <v>Grassland - Other lowland acid grassland</v>
      </c>
    </row>
    <row r="21" spans="1:4" x14ac:dyDescent="0.25">
      <c r="A21" s="658" t="s">
        <v>1199</v>
      </c>
      <c r="D21" s="658" t="str">
        <f>'G-1 All Habitats'!B21</f>
        <v>Grassland - Other neutral grassland</v>
      </c>
    </row>
    <row r="22" spans="1:4" x14ac:dyDescent="0.25">
      <c r="A22" s="658" t="s">
        <v>1200</v>
      </c>
      <c r="D22" s="658" t="str">
        <f>'G-1 All Habitats'!B22</f>
        <v>Grassland - Tall herb communities (H6430)</v>
      </c>
    </row>
    <row r="23" spans="1:4" x14ac:dyDescent="0.25">
      <c r="A23" s="658" t="s">
        <v>1201</v>
      </c>
      <c r="D23" s="658" t="str">
        <f>'G-1 All Habitats'!B23</f>
        <v>Grassland - Upland acid grassland</v>
      </c>
    </row>
    <row r="24" spans="1:4" x14ac:dyDescent="0.25">
      <c r="A24" s="658" t="s">
        <v>1202</v>
      </c>
      <c r="D24" s="658" t="str">
        <f>'G-1 All Habitats'!B24</f>
        <v>Grassland - Upland calcareous grassland</v>
      </c>
    </row>
    <row r="25" spans="1:4" x14ac:dyDescent="0.25">
      <c r="A25" s="658" t="s">
        <v>1203</v>
      </c>
      <c r="D25" s="658" t="str">
        <f>'G-1 All Habitats'!B25</f>
        <v>Grassland - Upland hay meadows</v>
      </c>
    </row>
    <row r="26" spans="1:4" x14ac:dyDescent="0.25">
      <c r="A26" s="658" t="s">
        <v>1204</v>
      </c>
      <c r="D26" s="658" t="str">
        <f>'G-1 All Habitats'!B26</f>
        <v>Heathland and shrub - Blackthorn scrub</v>
      </c>
    </row>
    <row r="27" spans="1:4" x14ac:dyDescent="0.25">
      <c r="A27" s="658" t="s">
        <v>1205</v>
      </c>
      <c r="D27" s="658" t="str">
        <f>'G-1 All Habitats'!B27</f>
        <v>Heathland and shrub - Bramble scrub</v>
      </c>
    </row>
    <row r="28" spans="1:4" x14ac:dyDescent="0.25">
      <c r="A28" s="658" t="s">
        <v>1206</v>
      </c>
      <c r="D28" s="658" t="str">
        <f>'G-1 All Habitats'!B28</f>
        <v>Heathland and shrub - Gorse scrub</v>
      </c>
    </row>
    <row r="29" spans="1:4" x14ac:dyDescent="0.25">
      <c r="A29" s="658" t="s">
        <v>1207</v>
      </c>
      <c r="D29" s="658" t="str">
        <f>'G-1 All Habitats'!B29</f>
        <v>Heathland and shrub - Hawthorn scrub</v>
      </c>
    </row>
    <row r="30" spans="1:4" x14ac:dyDescent="0.25">
      <c r="A30" s="658" t="s">
        <v>1208</v>
      </c>
      <c r="D30" s="658" t="str">
        <f>'G-1 All Habitats'!B30</f>
        <v>Heathland and shrub - Hazel scrub</v>
      </c>
    </row>
    <row r="31" spans="1:4" x14ac:dyDescent="0.25">
      <c r="A31" s="658" t="s">
        <v>1209</v>
      </c>
      <c r="D31" s="658" t="str">
        <f>'G-1 All Habitats'!B31</f>
        <v>Heathland and shrub - Lowland Heathland</v>
      </c>
    </row>
    <row r="32" spans="1:4" x14ac:dyDescent="0.25">
      <c r="A32" s="658" t="s">
        <v>1210</v>
      </c>
      <c r="D32" s="658" t="str">
        <f>'G-1 All Habitats'!B32</f>
        <v>Heathland and shrub - Mixed scrub</v>
      </c>
    </row>
    <row r="33" spans="1:4" x14ac:dyDescent="0.25">
      <c r="A33" s="658" t="s">
        <v>1211</v>
      </c>
      <c r="D33" s="658" t="str">
        <f>'G-1 All Habitats'!B33</f>
        <v>Heathland and shrub - Mountain heaths and willow scrub</v>
      </c>
    </row>
    <row r="34" spans="1:4" x14ac:dyDescent="0.25">
      <c r="A34" s="658" t="s">
        <v>1212</v>
      </c>
      <c r="D34" s="658" t="str">
        <f>'G-1 All Habitats'!B34</f>
        <v>Heathland and shrub - Rhododendron scrub</v>
      </c>
    </row>
    <row r="35" spans="1:4" x14ac:dyDescent="0.25">
      <c r="A35" s="658" t="s">
        <v>1213</v>
      </c>
      <c r="D35" s="658" t="str">
        <f>'G-1 All Habitats'!B35</f>
        <v>Heathland and shrub - Sea buckthorn scrub (Annex 1)</v>
      </c>
    </row>
    <row r="36" spans="1:4" x14ac:dyDescent="0.25">
      <c r="A36" s="658" t="s">
        <v>1214</v>
      </c>
      <c r="D36" s="658" t="str">
        <f>'G-1 All Habitats'!B36</f>
        <v>Heathland and shrub - Sea buckthorn scrub (other)</v>
      </c>
    </row>
    <row r="37" spans="1:4" x14ac:dyDescent="0.25">
      <c r="A37" s="658" t="s">
        <v>1215</v>
      </c>
      <c r="D37" s="658" t="str">
        <f>'G-1 All Habitats'!B37</f>
        <v>Heathland and shrub - Upland Heathland</v>
      </c>
    </row>
    <row r="38" spans="1:4" x14ac:dyDescent="0.25">
      <c r="A38" s="658" t="s">
        <v>1216</v>
      </c>
      <c r="D38" s="658" t="str">
        <f>'G-1 All Habitats'!B38</f>
        <v>Lakes - Aquifer fed naturally fluctuating water bodies</v>
      </c>
    </row>
    <row r="39" spans="1:4" x14ac:dyDescent="0.25">
      <c r="A39" s="658" t="s">
        <v>1217</v>
      </c>
      <c r="D39" s="658" t="e">
        <f>'G-1 All Habitats'!#REF!</f>
        <v>#REF!</v>
      </c>
    </row>
    <row r="40" spans="1:4" x14ac:dyDescent="0.25">
      <c r="A40" s="658" t="s">
        <v>1218</v>
      </c>
      <c r="D40" s="658" t="str">
        <f>'G-1 All Habitats'!B40</f>
        <v>Lakes - High alkalinity lakes</v>
      </c>
    </row>
    <row r="41" spans="1:4" x14ac:dyDescent="0.25">
      <c r="A41" s="658" t="s">
        <v>1219</v>
      </c>
      <c r="D41" s="658" t="str">
        <f>'G-1 All Habitats'!B41</f>
        <v>Lakes - Low alkalinity lakes</v>
      </c>
    </row>
    <row r="42" spans="1:4" x14ac:dyDescent="0.25">
      <c r="A42" s="658" t="s">
        <v>1220</v>
      </c>
      <c r="D42" s="658" t="str">
        <f>'G-1 All Habitats'!B42</f>
        <v>Lakes - Marl Lakes</v>
      </c>
    </row>
    <row r="43" spans="1:4" x14ac:dyDescent="0.25">
      <c r="A43" s="658" t="s">
        <v>1221</v>
      </c>
      <c r="D43" s="658" t="str">
        <f>'G-1 All Habitats'!B43</f>
        <v>Lakes - Moderate alkalinity lakes</v>
      </c>
    </row>
    <row r="44" spans="1:4" x14ac:dyDescent="0.25">
      <c r="A44" s="658" t="s">
        <v>1222</v>
      </c>
      <c r="D44" s="658" t="str">
        <f>'G-1 All Habitats'!B44</f>
        <v>Lakes - Peat Lakes</v>
      </c>
    </row>
    <row r="45" spans="1:4" x14ac:dyDescent="0.25">
      <c r="A45" s="658" t="s">
        <v>1223</v>
      </c>
      <c r="D45" s="658" t="str">
        <f>'G-1 All Habitats'!B45</f>
        <v>Lakes - Ponds (Priority Habitat)</v>
      </c>
    </row>
    <row r="46" spans="1:4" x14ac:dyDescent="0.25">
      <c r="A46" s="658" t="s">
        <v>1224</v>
      </c>
      <c r="D46" s="658" t="str">
        <f>'G-1 All Habitats'!B46</f>
        <v>Lakes - Ponds (Non- Priority Habitat)</v>
      </c>
    </row>
    <row r="47" spans="1:4" x14ac:dyDescent="0.25">
      <c r="A47" s="658" t="s">
        <v>1225</v>
      </c>
      <c r="D47" s="658" t="str">
        <f>'G-1 All Habitats'!B47</f>
        <v>Lakes - Reservoirs</v>
      </c>
    </row>
    <row r="48" spans="1:4" x14ac:dyDescent="0.25">
      <c r="A48" s="658" t="s">
        <v>1226</v>
      </c>
      <c r="D48" s="658" t="str">
        <f>'G-1 All Habitats'!B48</f>
        <v>Lakes - Temporary lakes, ponds and pools</v>
      </c>
    </row>
    <row r="49" spans="1:4" x14ac:dyDescent="0.25">
      <c r="A49" s="658" t="s">
        <v>1227</v>
      </c>
      <c r="D49" s="658" t="str">
        <f>'G-1 All Habitats'!B49</f>
        <v>Sparsely vegetated land - Calaminarian grasslands</v>
      </c>
    </row>
    <row r="50" spans="1:4" x14ac:dyDescent="0.25">
      <c r="A50" s="658" t="s">
        <v>1228</v>
      </c>
      <c r="D50" s="658" t="str">
        <f>'G-1 All Habitats'!B50</f>
        <v>Sparsely vegetated land - Coastal sand dunes</v>
      </c>
    </row>
    <row r="51" spans="1:4" x14ac:dyDescent="0.25">
      <c r="A51" s="658" t="s">
        <v>1229</v>
      </c>
      <c r="D51" s="658" t="str">
        <f>'G-1 All Habitats'!B51</f>
        <v>Sparsely vegetated land - Coastal vegetated shingle</v>
      </c>
    </row>
    <row r="52" spans="1:4" x14ac:dyDescent="0.25">
      <c r="A52" s="658" t="s">
        <v>1230</v>
      </c>
      <c r="D52" s="658" t="str">
        <f>'G-1 All Habitats'!B52</f>
        <v>Sparsely vegetated land - Ruderal/Ephemeral</v>
      </c>
    </row>
    <row r="53" spans="1:4" x14ac:dyDescent="0.25">
      <c r="A53" s="658" t="s">
        <v>1231</v>
      </c>
      <c r="D53" s="658" t="str">
        <f>'G-1 All Habitats'!B53</f>
        <v>Sparsely vegetated land - Inland rock outcrop and scree habitats</v>
      </c>
    </row>
    <row r="54" spans="1:4" x14ac:dyDescent="0.25">
      <c r="A54" s="658" t="s">
        <v>1232</v>
      </c>
      <c r="D54" s="658" t="str">
        <f>'G-1 All Habitats'!B54</f>
        <v>Sparsely vegetated land - Limestone pavement</v>
      </c>
    </row>
    <row r="55" spans="1:4" x14ac:dyDescent="0.25">
      <c r="A55" s="658" t="s">
        <v>1233</v>
      </c>
      <c r="D55" s="658" t="str">
        <f>'G-1 All Habitats'!B55</f>
        <v>Sparsely vegetated land - Maritime cliff and slopes</v>
      </c>
    </row>
    <row r="56" spans="1:4" x14ac:dyDescent="0.25">
      <c r="A56" s="658" t="s">
        <v>1234</v>
      </c>
      <c r="D56" s="658" t="str">
        <f>'G-1 All Habitats'!B56</f>
        <v>Sparsely vegetated land - Other inland rock and scree</v>
      </c>
    </row>
    <row r="57" spans="1:4" x14ac:dyDescent="0.25">
      <c r="A57" s="658" t="s">
        <v>1235</v>
      </c>
      <c r="D57" s="658" t="str">
        <f>'G-1 All Habitats'!B57</f>
        <v>Urban - Allotments</v>
      </c>
    </row>
    <row r="58" spans="1:4" x14ac:dyDescent="0.25">
      <c r="A58" s="658" t="s">
        <v>1236</v>
      </c>
      <c r="D58" s="658" t="str">
        <f>'G-1 All Habitats'!B39</f>
        <v>Lakes - Ornamental lake or pond</v>
      </c>
    </row>
    <row r="59" spans="1:4" x14ac:dyDescent="0.25">
      <c r="A59" s="658" t="s">
        <v>1237</v>
      </c>
      <c r="D59" s="658" t="str">
        <f>'G-1 All Habitats'!B58</f>
        <v>Urban - Artificial unvegetated, unsealed surface</v>
      </c>
    </row>
    <row r="60" spans="1:4" x14ac:dyDescent="0.25">
      <c r="A60" s="658" t="s">
        <v>1238</v>
      </c>
      <c r="D60" s="658" t="str">
        <f>'G-1 All Habitats'!B59</f>
        <v>Urban - Bioswale</v>
      </c>
    </row>
    <row r="61" spans="1:4" x14ac:dyDescent="0.25">
      <c r="A61" s="658" t="s">
        <v>1239</v>
      </c>
      <c r="D61" s="658" t="str">
        <f>'G-1 All Habitats'!B60</f>
        <v>Urban - Intensive green roof</v>
      </c>
    </row>
    <row r="62" spans="1:4" x14ac:dyDescent="0.25">
      <c r="A62" s="658" t="s">
        <v>1240</v>
      </c>
      <c r="D62" s="658" t="str">
        <f>'G-1 All Habitats'!B61</f>
        <v>Urban - Built linear features</v>
      </c>
    </row>
    <row r="63" spans="1:4" x14ac:dyDescent="0.25">
      <c r="A63" s="658" t="s">
        <v>1241</v>
      </c>
      <c r="D63" s="658" t="str">
        <f>'G-1 All Habitats'!B62</f>
        <v>Urban - Cemeteries and churchyards</v>
      </c>
    </row>
    <row r="64" spans="1:4" x14ac:dyDescent="0.25">
      <c r="A64" s="658" t="s">
        <v>1242</v>
      </c>
      <c r="D64" s="658" t="str">
        <f>'G-1 All Habitats'!B63</f>
        <v>Urban - Developed land; sealed surface</v>
      </c>
    </row>
    <row r="65" spans="1:4" x14ac:dyDescent="0.25">
      <c r="A65" s="658" t="s">
        <v>1243</v>
      </c>
      <c r="D65" s="658" t="str">
        <f>'G-1 All Habitats'!B64</f>
        <v>Urban - Other green roof</v>
      </c>
    </row>
    <row r="66" spans="1:4" x14ac:dyDescent="0.25">
      <c r="A66" s="658" t="s">
        <v>1244</v>
      </c>
      <c r="D66" s="658" t="str">
        <f>'G-1 All Habitats'!B65</f>
        <v>Urban - Facade-bound green wall</v>
      </c>
    </row>
    <row r="67" spans="1:4" x14ac:dyDescent="0.25">
      <c r="A67" s="658" t="s">
        <v>1245</v>
      </c>
      <c r="D67" s="658" t="str">
        <f>'G-1 All Habitats'!B66</f>
        <v>Urban - Ground based green wall</v>
      </c>
    </row>
    <row r="68" spans="1:4" x14ac:dyDescent="0.25">
      <c r="A68" s="658" t="s">
        <v>1246</v>
      </c>
      <c r="D68" s="658" t="str">
        <f>'G-1 All Habitats'!B67</f>
        <v>Urban - Ground level planters</v>
      </c>
    </row>
    <row r="69" spans="1:4" x14ac:dyDescent="0.25">
      <c r="A69" s="658" t="s">
        <v>1247</v>
      </c>
      <c r="D69" s="658" t="str">
        <f>'G-1 All Habitats'!B68</f>
        <v>Urban - Biodiverse green roof</v>
      </c>
    </row>
    <row r="70" spans="1:4" x14ac:dyDescent="0.25">
      <c r="A70" s="658" t="s">
        <v>1248</v>
      </c>
      <c r="D70" s="658" t="str">
        <f>'G-1 All Habitats'!B69</f>
        <v>Urban - Introduced shrub</v>
      </c>
    </row>
    <row r="71" spans="1:4" x14ac:dyDescent="0.25">
      <c r="A71" s="658" t="s">
        <v>1249</v>
      </c>
      <c r="D71" s="658" t="e">
        <f>'G-1 All Habitats'!#REF!</f>
        <v>#REF!</v>
      </c>
    </row>
    <row r="72" spans="1:4" x14ac:dyDescent="0.25">
      <c r="A72" s="658" t="s">
        <v>1250</v>
      </c>
      <c r="D72" s="658" t="str">
        <f>'G-1 All Habitats'!B70</f>
        <v>Urban - Open Mosaic Habitats on Previously Developed Land</v>
      </c>
    </row>
    <row r="73" spans="1:4" x14ac:dyDescent="0.25">
      <c r="A73" s="658" t="s">
        <v>1251</v>
      </c>
      <c r="D73" s="658" t="e">
        <f>'G-1 All Habitats'!#REF!</f>
        <v>#REF!</v>
      </c>
    </row>
    <row r="74" spans="1:4" x14ac:dyDescent="0.25">
      <c r="A74" s="658" t="s">
        <v>1252</v>
      </c>
      <c r="D74" s="658" t="str">
        <f>'G-1 All Habitats'!B71</f>
        <v>Urban - Rain garden</v>
      </c>
    </row>
    <row r="75" spans="1:4" x14ac:dyDescent="0.25">
      <c r="A75" s="658" t="s">
        <v>1253</v>
      </c>
      <c r="D75" s="658" t="str">
        <f>'G-1 All Habitats'!B72</f>
        <v>Urban - Actively worked sand pit quarry or open cast mine</v>
      </c>
    </row>
    <row r="76" spans="1:4" x14ac:dyDescent="0.25">
      <c r="A76" s="658" t="s">
        <v>1254</v>
      </c>
      <c r="D76" s="658" t="str">
        <f>'G-1 All Habitats'!B73</f>
        <v>Urban - Urban Tree</v>
      </c>
    </row>
    <row r="77" spans="1:4" x14ac:dyDescent="0.25">
      <c r="A77" s="658" t="s">
        <v>1255</v>
      </c>
      <c r="D77" s="658" t="e">
        <f>'G-1 All Habitats'!#REF!</f>
        <v>#REF!</v>
      </c>
    </row>
    <row r="78" spans="1:4" x14ac:dyDescent="0.25">
      <c r="A78" s="658" t="s">
        <v>1256</v>
      </c>
      <c r="D78" s="658" t="str">
        <f>'G-1 All Habitats'!B74</f>
        <v>Urban - Sustainable urban drainage feature</v>
      </c>
    </row>
    <row r="79" spans="1:4" x14ac:dyDescent="0.25">
      <c r="A79" s="658" t="s">
        <v>1257</v>
      </c>
      <c r="D79" s="658" t="str">
        <f>'G-1 All Habitats'!B75</f>
        <v>Urban - Un-vegetated garden</v>
      </c>
    </row>
    <row r="80" spans="1:4" x14ac:dyDescent="0.25">
      <c r="A80" s="658" t="s">
        <v>1258</v>
      </c>
      <c r="D80" s="658" t="str">
        <f>'G-1 All Habitats'!B76</f>
        <v>Urban - Vacant/derelict land/ bareground</v>
      </c>
    </row>
    <row r="81" spans="1:4" x14ac:dyDescent="0.25">
      <c r="A81" s="658" t="s">
        <v>1259</v>
      </c>
      <c r="D81" s="658" t="str">
        <f>'G-1 All Habitats'!B77</f>
        <v>Urban - Vegetated garden</v>
      </c>
    </row>
    <row r="82" spans="1:4" x14ac:dyDescent="0.25">
      <c r="A82" s="658" t="s">
        <v>1260</v>
      </c>
      <c r="D82" s="658" t="e">
        <f>'G-1 All Habitats'!#REF!</f>
        <v>#REF!</v>
      </c>
    </row>
    <row r="83" spans="1:4" x14ac:dyDescent="0.25">
      <c r="A83" s="658" t="s">
        <v>1261</v>
      </c>
      <c r="D83" s="658" t="str">
        <f>'G-1 All Habitats'!B78</f>
        <v>Wetland - Blanket bog</v>
      </c>
    </row>
    <row r="84" spans="1:4" x14ac:dyDescent="0.25">
      <c r="A84" s="658" t="s">
        <v>1262</v>
      </c>
      <c r="D84" s="658" t="str">
        <f>'G-1 All Habitats'!B79</f>
        <v>Wetland - Depressions on Peat substrates (H7150)</v>
      </c>
    </row>
    <row r="85" spans="1:4" x14ac:dyDescent="0.25">
      <c r="A85" s="658" t="s">
        <v>1263</v>
      </c>
      <c r="D85" s="658" t="str">
        <f>'G-1 All Habitats'!B80</f>
        <v>Wetland - Fens (upland and lowland)</v>
      </c>
    </row>
    <row r="86" spans="1:4" x14ac:dyDescent="0.25">
      <c r="A86" s="658" t="s">
        <v>1264</v>
      </c>
      <c r="D86" s="658" t="str">
        <f>'G-1 All Habitats'!B81</f>
        <v>Wetland - Lowland raised bog</v>
      </c>
    </row>
    <row r="87" spans="1:4" x14ac:dyDescent="0.25">
      <c r="A87" s="658" t="s">
        <v>1265</v>
      </c>
      <c r="D87" s="658" t="str">
        <f>'G-1 All Habitats'!B82</f>
        <v>Wetland - Oceanic Valley Mire[1] (D2.1)</v>
      </c>
    </row>
    <row r="88" spans="1:4" x14ac:dyDescent="0.25">
      <c r="A88" s="658" t="s">
        <v>1266</v>
      </c>
      <c r="D88" s="658" t="str">
        <f>'G-1 All Habitats'!B83</f>
        <v>Wetland - Purple moor grass and rush pastures</v>
      </c>
    </row>
    <row r="89" spans="1:4" x14ac:dyDescent="0.25">
      <c r="A89" s="658" t="s">
        <v>1267</v>
      </c>
      <c r="D89" s="658" t="str">
        <f>'G-1 All Habitats'!B84</f>
        <v>Wetland - Reedbeds</v>
      </c>
    </row>
    <row r="90" spans="1:4" x14ac:dyDescent="0.25">
      <c r="A90" s="658" t="s">
        <v>1268</v>
      </c>
      <c r="D90" s="658" t="str">
        <f>'G-1 All Habitats'!B85</f>
        <v>Wetland - Transition mires and quaking bogs (H7140)</v>
      </c>
    </row>
    <row r="91" spans="1:4" x14ac:dyDescent="0.25">
      <c r="A91" s="658" t="s">
        <v>1269</v>
      </c>
      <c r="D91" s="658" t="str">
        <f>'G-1 All Habitats'!B86</f>
        <v>Woodland and forest - Felled</v>
      </c>
    </row>
    <row r="92" spans="1:4" x14ac:dyDescent="0.25">
      <c r="A92" s="658" t="s">
        <v>1270</v>
      </c>
      <c r="D92" s="658" t="str">
        <f>'G-1 All Habitats'!B87</f>
        <v>Woodland and forest - Lowland beech and yew woodland</v>
      </c>
    </row>
    <row r="93" spans="1:4" x14ac:dyDescent="0.25">
      <c r="A93" s="658" t="s">
        <v>1271</v>
      </c>
      <c r="D93" s="658" t="str">
        <f>'G-1 All Habitats'!B88</f>
        <v>Woodland and forest - Lowland mixed deciduous woodland</v>
      </c>
    </row>
    <row r="94" spans="1:4" x14ac:dyDescent="0.25">
      <c r="A94" s="658" t="s">
        <v>1272</v>
      </c>
      <c r="D94" s="658" t="str">
        <f>'G-1 All Habitats'!B89</f>
        <v>Woodland and forest - Native pine woodlands</v>
      </c>
    </row>
    <row r="95" spans="1:4" x14ac:dyDescent="0.25">
      <c r="A95" s="658" t="s">
        <v>1273</v>
      </c>
      <c r="D95" s="658" t="str">
        <f>'G-1 All Habitats'!B90</f>
        <v>Woodland and forest - Other coniferous woodland</v>
      </c>
    </row>
    <row r="96" spans="1:4" x14ac:dyDescent="0.25">
      <c r="A96" s="658" t="s">
        <v>1274</v>
      </c>
      <c r="D96" s="658" t="str">
        <f>'G-1 All Habitats'!B91</f>
        <v>Woodland and forest - Other Scot's Pine woodland</v>
      </c>
    </row>
    <row r="97" spans="1:4" x14ac:dyDescent="0.25">
      <c r="A97" s="658" t="s">
        <v>1275</v>
      </c>
      <c r="D97" s="658" t="str">
        <f>'G-1 All Habitats'!B92</f>
        <v>Woodland and forest - Other woodland; broadleaved</v>
      </c>
    </row>
    <row r="98" spans="1:4" x14ac:dyDescent="0.25">
      <c r="A98" s="658" t="s">
        <v>1276</v>
      </c>
      <c r="D98" s="658" t="str">
        <f>'G-1 All Habitats'!B93</f>
        <v>Woodland and forest - Other woodland; mixed</v>
      </c>
    </row>
    <row r="99" spans="1:4" x14ac:dyDescent="0.25">
      <c r="A99" s="658" t="s">
        <v>1277</v>
      </c>
      <c r="D99" s="658" t="e">
        <f>'G-1 All Habitats'!#REF!</f>
        <v>#REF!</v>
      </c>
    </row>
    <row r="100" spans="1:4" x14ac:dyDescent="0.25">
      <c r="A100" s="658" t="s">
        <v>1278</v>
      </c>
      <c r="D100" s="658" t="str">
        <f>'G-1 All Habitats'!B94</f>
        <v>Woodland and forest - Upland birchwoods</v>
      </c>
    </row>
    <row r="101" spans="1:4" x14ac:dyDescent="0.25">
      <c r="A101" s="658" t="s">
        <v>1279</v>
      </c>
      <c r="D101" s="658" t="str">
        <f>'G-1 All Habitats'!B95</f>
        <v>Woodland and forest - Upland mixed ashwoods</v>
      </c>
    </row>
    <row r="102" spans="1:4" x14ac:dyDescent="0.25">
      <c r="A102" s="658" t="s">
        <v>1280</v>
      </c>
      <c r="D102" s="658" t="str">
        <f>'G-1 All Habitats'!B96</f>
        <v>Woodland and forest - Upland oakwood</v>
      </c>
    </row>
    <row r="103" spans="1:4" x14ac:dyDescent="0.25">
      <c r="A103" s="658" t="s">
        <v>1281</v>
      </c>
      <c r="D103" s="658" t="str">
        <f>'G-1 All Habitats'!B97</f>
        <v>Woodland and forest - Wet woodland</v>
      </c>
    </row>
    <row r="104" spans="1:4" x14ac:dyDescent="0.25">
      <c r="A104" s="658" t="s">
        <v>1282</v>
      </c>
      <c r="D104" s="658" t="str">
        <f>'G-1 All Habitats'!B98</f>
        <v>Woodland and forest - Wood-pasture and parkland</v>
      </c>
    </row>
    <row r="105" spans="1:4" x14ac:dyDescent="0.25">
      <c r="A105" s="658" t="s">
        <v>1283</v>
      </c>
      <c r="D105" s="658" t="str">
        <f>'G-1 All Habitats'!B99</f>
        <v>Coastal lagoons - Coastal lagoons</v>
      </c>
    </row>
    <row r="106" spans="1:4" x14ac:dyDescent="0.25">
      <c r="A106" s="658" t="s">
        <v>1284</v>
      </c>
      <c r="D106" s="658" t="str">
        <f>'G-1 All Habitats'!B100</f>
        <v>Rocky shore - High energy littoral rock</v>
      </c>
    </row>
    <row r="107" spans="1:4" x14ac:dyDescent="0.25">
      <c r="A107" s="658" t="s">
        <v>1285</v>
      </c>
      <c r="D107" s="658" t="str">
        <f>'G-1 All Habitats'!B101</f>
        <v>Rocky shore - High energy littoral rock - on peat, clay or chalk</v>
      </c>
    </row>
    <row r="108" spans="1:4" x14ac:dyDescent="0.25">
      <c r="A108" s="658" t="s">
        <v>1286</v>
      </c>
      <c r="D108" s="658" t="str">
        <f>'G-1 All Habitats'!B102</f>
        <v>Rocky shore - Moderate energy littoral rock</v>
      </c>
    </row>
    <row r="109" spans="1:4" x14ac:dyDescent="0.25">
      <c r="A109" s="658" t="s">
        <v>1287</v>
      </c>
      <c r="D109" s="658" t="str">
        <f>'G-1 All Habitats'!B103</f>
        <v>Rocky shore - Moderate energy littoral rock - on peat, clay or chalk</v>
      </c>
    </row>
    <row r="110" spans="1:4" x14ac:dyDescent="0.25">
      <c r="A110" s="658" t="s">
        <v>1288</v>
      </c>
      <c r="D110" s="658" t="str">
        <f>'G-1 All Habitats'!B104</f>
        <v>Rocky shore - Low energy littoral rock</v>
      </c>
    </row>
    <row r="111" spans="1:4" x14ac:dyDescent="0.25">
      <c r="A111" s="658" t="s">
        <v>1289</v>
      </c>
      <c r="D111" s="658" t="str">
        <f>'G-1 All Habitats'!B105</f>
        <v>Rocky shore - Low energy littoral rock - on peat, clay or chalk</v>
      </c>
    </row>
    <row r="112" spans="1:4" x14ac:dyDescent="0.25">
      <c r="A112" s="658" t="s">
        <v>1290</v>
      </c>
      <c r="D112" s="658" t="str">
        <f>'G-1 All Habitats'!B106</f>
        <v>Rocky shore - Features of littoral rock</v>
      </c>
    </row>
    <row r="113" spans="1:4" x14ac:dyDescent="0.25">
      <c r="A113" s="658" t="s">
        <v>1291</v>
      </c>
      <c r="D113" s="658" t="str">
        <f>'G-1 All Habitats'!B107</f>
        <v>Rocky shore - Features of littoral rock - on peat, clay or chalk</v>
      </c>
    </row>
    <row r="114" spans="1:4" x14ac:dyDescent="0.25">
      <c r="A114" s="658" t="s">
        <v>1292</v>
      </c>
      <c r="D114" s="658" t="e">
        <f>'G-1 All Habitats'!#REF!</f>
        <v>#REF!</v>
      </c>
    </row>
    <row r="115" spans="1:4" x14ac:dyDescent="0.25">
      <c r="A115" s="658" t="s">
        <v>1293</v>
      </c>
      <c r="D115" s="658" t="e">
        <f>'G-1 All Habitats'!#REF!</f>
        <v>#REF!</v>
      </c>
    </row>
    <row r="116" spans="1:4" x14ac:dyDescent="0.25">
      <c r="A116" s="658" t="s">
        <v>1294</v>
      </c>
      <c r="D116" s="658" t="e">
        <f>'G-1 All Habitats'!#REF!</f>
        <v>#REF!</v>
      </c>
    </row>
    <row r="117" spans="1:4" x14ac:dyDescent="0.25">
      <c r="A117" s="658" t="s">
        <v>1295</v>
      </c>
      <c r="D117" s="658" t="e">
        <f>'G-1 All Habitats'!#REF!</f>
        <v>#REF!</v>
      </c>
    </row>
    <row r="118" spans="1:4" x14ac:dyDescent="0.25">
      <c r="A118" s="658" t="s">
        <v>1296</v>
      </c>
      <c r="D118" s="658" t="str">
        <f>'G-1 All Habitats'!B110</f>
        <v>Intertidal sediment - Littoral coarse sediment</v>
      </c>
    </row>
    <row r="119" spans="1:4" x14ac:dyDescent="0.25">
      <c r="A119" s="658" t="s">
        <v>1297</v>
      </c>
      <c r="D119" s="658" t="e">
        <f>'G-1 All Habitats'!#REF!</f>
        <v>#REF!</v>
      </c>
    </row>
    <row r="120" spans="1:4" x14ac:dyDescent="0.25">
      <c r="A120" s="658" t="s">
        <v>1298</v>
      </c>
      <c r="D120" s="658" t="str">
        <f>'G-1 All Habitats'!B111</f>
        <v>Intertidal sediment - Littoral mud</v>
      </c>
    </row>
    <row r="121" spans="1:4" x14ac:dyDescent="0.25">
      <c r="A121" s="658" t="s">
        <v>1299</v>
      </c>
      <c r="D121" s="658" t="str">
        <f>'G-1 All Habitats'!B112</f>
        <v>Intertidal sediment - Littoral mixed sediments</v>
      </c>
    </row>
    <row r="122" spans="1:4" x14ac:dyDescent="0.25">
      <c r="A122" s="658" t="s">
        <v>1300</v>
      </c>
      <c r="D122" s="658" t="str">
        <f>'G-1 All Habitats'!B108</f>
        <v>Coastal saltmarsh - Saltmarshes and saline reedbeds</v>
      </c>
    </row>
    <row r="123" spans="1:4" x14ac:dyDescent="0.25">
      <c r="A123" s="658" t="s">
        <v>1301</v>
      </c>
      <c r="D123" s="658" t="str">
        <f>'G-1 All Habitats'!B113</f>
        <v>Intertidal sediment - Littoral seagrass</v>
      </c>
    </row>
    <row r="124" spans="1:4" x14ac:dyDescent="0.25">
      <c r="A124" s="658" t="s">
        <v>1302</v>
      </c>
      <c r="D124" s="658" t="str">
        <f>'G-1 All Habitats'!B114</f>
        <v>Intertidal sediment - Littoral seagrass on peat, clay or chalk</v>
      </c>
    </row>
    <row r="125" spans="1:4" x14ac:dyDescent="0.25">
      <c r="A125" s="658" t="s">
        <v>1303</v>
      </c>
      <c r="D125" s="658" t="str">
        <f>'G-1 All Habitats'!B116</f>
        <v>Intertidal sediment - Littoral biogenic reefs - Sabellaria</v>
      </c>
    </row>
    <row r="126" spans="1:4" x14ac:dyDescent="0.25">
      <c r="A126" s="658" t="s">
        <v>1304</v>
      </c>
      <c r="D126" s="658" t="e">
        <f>'G-1 All Habitats'!#REF!</f>
        <v>#REF!</v>
      </c>
    </row>
    <row r="127" spans="1:4" x14ac:dyDescent="0.25">
      <c r="A127" s="658" t="s">
        <v>1305</v>
      </c>
      <c r="D127" s="658" t="str">
        <f>'G-1 All Habitats'!B117</f>
        <v>Intertidal sediment - Features of littoral sediment</v>
      </c>
    </row>
    <row r="128" spans="1:4" x14ac:dyDescent="0.25">
      <c r="A128" s="658" t="s">
        <v>1306</v>
      </c>
      <c r="D128" s="658" t="str">
        <f>'G-1 All Habitats'!B118</f>
        <v>Intertidal sediment - Artificial littoral coarse sediment</v>
      </c>
    </row>
    <row r="129" spans="1:4" x14ac:dyDescent="0.25">
      <c r="A129" s="658" t="s">
        <v>1307</v>
      </c>
      <c r="D129" s="658" t="e">
        <f>'G-1 All Habitats'!#REF!</f>
        <v>#REF!</v>
      </c>
    </row>
    <row r="130" spans="1:4" x14ac:dyDescent="0.25">
      <c r="A130" s="658" t="s">
        <v>1308</v>
      </c>
      <c r="D130" s="658" t="str">
        <f>'G-1 All Habitats'!B121</f>
        <v>Intertidal sediment - Artificial littoral muddy sand</v>
      </c>
    </row>
    <row r="131" spans="1:4" x14ac:dyDescent="0.25">
      <c r="A131" s="658" t="s">
        <v>1309</v>
      </c>
      <c r="D131" s="658" t="str">
        <f>'G-1 All Habitats'!B122</f>
        <v>Intertidal sediment - Artificial littoral mixed sediments</v>
      </c>
    </row>
    <row r="132" spans="1:4" x14ac:dyDescent="0.25">
      <c r="A132" s="658" t="s">
        <v>1310</v>
      </c>
      <c r="D132" s="658" t="str">
        <f>'G-1 All Habitats'!B123</f>
        <v>Intertidal sediment - Artificial littoral seagrass</v>
      </c>
    </row>
    <row r="133" spans="1:4" x14ac:dyDescent="0.25">
      <c r="A133" s="658" t="s">
        <v>1311</v>
      </c>
      <c r="D133" s="658" t="str">
        <f>'G-1 All Habitats'!B124</f>
        <v>Intertidal sediment - Artificial littoral biogenic reefs</v>
      </c>
    </row>
    <row r="134" spans="1:4" x14ac:dyDescent="0.25">
      <c r="A134" s="658" t="s">
        <v>1312</v>
      </c>
      <c r="D134" s="658" t="e">
        <f>'G-1 All Habitats'!#REF!</f>
        <v>#REF!</v>
      </c>
    </row>
    <row r="135" spans="1:4" x14ac:dyDescent="0.25">
      <c r="A135" s="658" t="s">
        <v>1313</v>
      </c>
      <c r="D135" s="658" t="e">
        <f>'G-1 All Habitats'!#REF!</f>
        <v>#REF!</v>
      </c>
    </row>
    <row r="136" spans="1:4" x14ac:dyDescent="0.25">
      <c r="A136" s="658" t="s">
        <v>1314</v>
      </c>
      <c r="D136" s="658">
        <f>'G-1 All Habitats'!B130</f>
        <v>0</v>
      </c>
    </row>
    <row r="137" spans="1:4" x14ac:dyDescent="0.25">
      <c r="A137" s="658" t="s">
        <v>1315</v>
      </c>
      <c r="D137" s="658">
        <f>'G-1 All Habitats'!B131</f>
        <v>0</v>
      </c>
    </row>
    <row r="138" spans="1:4" x14ac:dyDescent="0.25">
      <c r="A138" s="658" t="s">
        <v>1316</v>
      </c>
      <c r="D138" s="658">
        <f>'G-1 All Habitats'!B132</f>
        <v>0</v>
      </c>
    </row>
    <row r="139" spans="1:4" x14ac:dyDescent="0.25">
      <c r="A139" s="658" t="s">
        <v>1317</v>
      </c>
      <c r="D139" s="658">
        <f>'G-1 All Habitats'!B133</f>
        <v>0</v>
      </c>
    </row>
    <row r="140" spans="1:4" x14ac:dyDescent="0.25">
      <c r="A140" s="658" t="s">
        <v>1318</v>
      </c>
      <c r="D140" s="658">
        <f>'G-1 All Habitats'!B134</f>
        <v>0</v>
      </c>
    </row>
    <row r="141" spans="1:4" x14ac:dyDescent="0.25">
      <c r="A141" s="658" t="s">
        <v>1319</v>
      </c>
      <c r="D141" s="658">
        <f>'G-1 All Habitats'!B135</f>
        <v>0</v>
      </c>
    </row>
    <row r="142" spans="1:4" x14ac:dyDescent="0.25">
      <c r="A142" s="658" t="s">
        <v>1320</v>
      </c>
      <c r="D142" s="658">
        <f>'G-1 All Habitats'!B136</f>
        <v>0</v>
      </c>
    </row>
    <row r="143" spans="1:4" x14ac:dyDescent="0.25">
      <c r="A143" s="658" t="s">
        <v>1321</v>
      </c>
      <c r="D143" s="658">
        <f>'G-1 All Habitats'!B137</f>
        <v>0</v>
      </c>
    </row>
    <row r="144" spans="1:4" x14ac:dyDescent="0.25">
      <c r="A144" s="658" t="s">
        <v>1322</v>
      </c>
      <c r="D144" s="658">
        <f>'G-1 All Habitats'!B138</f>
        <v>0</v>
      </c>
    </row>
    <row r="145" spans="1:4" x14ac:dyDescent="0.25">
      <c r="A145" s="658" t="s">
        <v>1323</v>
      </c>
      <c r="D145" s="658">
        <f>'G-1 All Habitats'!B139</f>
        <v>0</v>
      </c>
    </row>
    <row r="146" spans="1:4" x14ac:dyDescent="0.25">
      <c r="A146" s="658" t="s">
        <v>1324</v>
      </c>
      <c r="D146" s="658">
        <f>'G-1 All Habitats'!B140</f>
        <v>0</v>
      </c>
    </row>
    <row r="147" spans="1:4" x14ac:dyDescent="0.25">
      <c r="A147" s="658" t="s">
        <v>1325</v>
      </c>
      <c r="D147" s="658">
        <f>'G-1 All Habitats'!B141</f>
        <v>0</v>
      </c>
    </row>
    <row r="148" spans="1:4" x14ac:dyDescent="0.25">
      <c r="A148" s="658" t="s">
        <v>1326</v>
      </c>
      <c r="D148" s="658">
        <f>'G-1 All Habitats'!B142</f>
        <v>0</v>
      </c>
    </row>
    <row r="149" spans="1:4" x14ac:dyDescent="0.25">
      <c r="A149" s="658" t="s">
        <v>1327</v>
      </c>
      <c r="D149" s="658">
        <f>'G-1 All Habitats'!B143</f>
        <v>0</v>
      </c>
    </row>
    <row r="150" spans="1:4" x14ac:dyDescent="0.25">
      <c r="A150" s="658" t="s">
        <v>1328</v>
      </c>
      <c r="D150" s="658">
        <f>'G-1 All Habitats'!B144</f>
        <v>0</v>
      </c>
    </row>
    <row r="151" spans="1:4" x14ac:dyDescent="0.25">
      <c r="A151" s="658" t="s">
        <v>1329</v>
      </c>
      <c r="D151" s="658">
        <f>'G-1 All Habitats'!B145</f>
        <v>0</v>
      </c>
    </row>
    <row r="152" spans="1:4" x14ac:dyDescent="0.25">
      <c r="A152" s="658" t="s">
        <v>1330</v>
      </c>
      <c r="D152" s="658">
        <f>'G-1 All Habitats'!B146</f>
        <v>0</v>
      </c>
    </row>
    <row r="153" spans="1:4" x14ac:dyDescent="0.25">
      <c r="A153" s="658" t="s">
        <v>1331</v>
      </c>
      <c r="D153" s="658">
        <f>'G-1 All Habitats'!B147</f>
        <v>0</v>
      </c>
    </row>
    <row r="154" spans="1:4" x14ac:dyDescent="0.25">
      <c r="A154" s="658" t="s">
        <v>1332</v>
      </c>
      <c r="D154" s="658">
        <f>'G-1 All Habitats'!B148</f>
        <v>0</v>
      </c>
    </row>
    <row r="155" spans="1:4" x14ac:dyDescent="0.25">
      <c r="A155" s="658" t="s">
        <v>1333</v>
      </c>
      <c r="D155" s="658">
        <f>'G-1 All Habitats'!B149</f>
        <v>0</v>
      </c>
    </row>
    <row r="156" spans="1:4" x14ac:dyDescent="0.25">
      <c r="A156" s="658" t="s">
        <v>1334</v>
      </c>
      <c r="D156" s="658">
        <f>'G-1 All Habitats'!B150</f>
        <v>0</v>
      </c>
    </row>
    <row r="157" spans="1:4" x14ac:dyDescent="0.25">
      <c r="A157" s="658" t="s">
        <v>1335</v>
      </c>
    </row>
    <row r="158" spans="1:4" x14ac:dyDescent="0.25">
      <c r="A158" s="658" t="s">
        <v>1336</v>
      </c>
    </row>
    <row r="159" spans="1:4" x14ac:dyDescent="0.25">
      <c r="A159" s="658" t="s">
        <v>1337</v>
      </c>
    </row>
    <row r="160" spans="1:4" x14ac:dyDescent="0.25">
      <c r="A160" s="658" t="s">
        <v>1338</v>
      </c>
    </row>
    <row r="161" spans="1:1" x14ac:dyDescent="0.25">
      <c r="A161" s="658" t="s">
        <v>1339</v>
      </c>
    </row>
    <row r="162" spans="1:1" x14ac:dyDescent="0.25">
      <c r="A162" s="658" t="s">
        <v>1340</v>
      </c>
    </row>
    <row r="163" spans="1:1" x14ac:dyDescent="0.25">
      <c r="A163" s="658" t="s">
        <v>1341</v>
      </c>
    </row>
    <row r="164" spans="1:1" x14ac:dyDescent="0.25">
      <c r="A164" s="658" t="s">
        <v>1342</v>
      </c>
    </row>
    <row r="165" spans="1:1" x14ac:dyDescent="0.25">
      <c r="A165" s="658" t="s">
        <v>1343</v>
      </c>
    </row>
    <row r="166" spans="1:1" x14ac:dyDescent="0.25">
      <c r="A166" s="658" t="s">
        <v>1344</v>
      </c>
    </row>
    <row r="167" spans="1:1" x14ac:dyDescent="0.25">
      <c r="A167" s="658" t="s">
        <v>1345</v>
      </c>
    </row>
    <row r="168" spans="1:1" x14ac:dyDescent="0.25">
      <c r="A168" s="658" t="s">
        <v>1346</v>
      </c>
    </row>
    <row r="169" spans="1:1" x14ac:dyDescent="0.25">
      <c r="A169" s="658" t="s">
        <v>1347</v>
      </c>
    </row>
    <row r="170" spans="1:1" x14ac:dyDescent="0.25">
      <c r="A170" s="658" t="s">
        <v>1348</v>
      </c>
    </row>
    <row r="171" spans="1:1" x14ac:dyDescent="0.25">
      <c r="A171" s="658" t="s">
        <v>1349</v>
      </c>
    </row>
    <row r="172" spans="1:1" x14ac:dyDescent="0.25">
      <c r="A172" s="658" t="s">
        <v>1350</v>
      </c>
    </row>
    <row r="173" spans="1:1" x14ac:dyDescent="0.25">
      <c r="A173" s="658" t="s">
        <v>1351</v>
      </c>
    </row>
    <row r="174" spans="1:1" x14ac:dyDescent="0.25">
      <c r="A174" s="658" t="s">
        <v>1352</v>
      </c>
    </row>
    <row r="175" spans="1:1" x14ac:dyDescent="0.25">
      <c r="A175" s="658" t="s">
        <v>1353</v>
      </c>
    </row>
    <row r="176" spans="1:1" x14ac:dyDescent="0.25">
      <c r="A176" s="658" t="s">
        <v>1354</v>
      </c>
    </row>
    <row r="177" spans="1:1" x14ac:dyDescent="0.25">
      <c r="A177" s="658" t="s">
        <v>1355</v>
      </c>
    </row>
    <row r="178" spans="1:1" x14ac:dyDescent="0.25">
      <c r="A178" s="658" t="s">
        <v>1356</v>
      </c>
    </row>
    <row r="179" spans="1:1" x14ac:dyDescent="0.25">
      <c r="A179" s="658" t="s">
        <v>1357</v>
      </c>
    </row>
    <row r="180" spans="1:1" x14ac:dyDescent="0.25">
      <c r="A180" s="658" t="s">
        <v>1358</v>
      </c>
    </row>
    <row r="181" spans="1:1" x14ac:dyDescent="0.25">
      <c r="A181" s="658" t="s">
        <v>1359</v>
      </c>
    </row>
    <row r="182" spans="1:1" x14ac:dyDescent="0.25">
      <c r="A182" s="658" t="s">
        <v>1360</v>
      </c>
    </row>
    <row r="183" spans="1:1" x14ac:dyDescent="0.25">
      <c r="A183" s="658" t="s">
        <v>1361</v>
      </c>
    </row>
    <row r="184" spans="1:1" x14ac:dyDescent="0.25">
      <c r="A184" s="658" t="s">
        <v>1362</v>
      </c>
    </row>
    <row r="185" spans="1:1" x14ac:dyDescent="0.25">
      <c r="A185" s="658" t="s">
        <v>1363</v>
      </c>
    </row>
    <row r="186" spans="1:1" x14ac:dyDescent="0.25">
      <c r="A186" s="658" t="s">
        <v>1364</v>
      </c>
    </row>
    <row r="187" spans="1:1" x14ac:dyDescent="0.25">
      <c r="A187" s="658" t="s">
        <v>1365</v>
      </c>
    </row>
    <row r="188" spans="1:1" x14ac:dyDescent="0.25">
      <c r="A188" s="658" t="s">
        <v>1366</v>
      </c>
    </row>
    <row r="189" spans="1:1" x14ac:dyDescent="0.25">
      <c r="A189" s="658" t="s">
        <v>1367</v>
      </c>
    </row>
    <row r="190" spans="1:1" x14ac:dyDescent="0.25">
      <c r="A190" s="658" t="s">
        <v>1368</v>
      </c>
    </row>
    <row r="191" spans="1:1" x14ac:dyDescent="0.25">
      <c r="A191" s="658" t="s">
        <v>1369</v>
      </c>
    </row>
    <row r="192" spans="1:1" x14ac:dyDescent="0.25">
      <c r="A192" s="658" t="s">
        <v>1370</v>
      </c>
    </row>
    <row r="193" spans="1:1" x14ac:dyDescent="0.25">
      <c r="A193" s="658" t="s">
        <v>1371</v>
      </c>
    </row>
    <row r="194" spans="1:1" x14ac:dyDescent="0.25">
      <c r="A194" s="658" t="s">
        <v>1372</v>
      </c>
    </row>
    <row r="195" spans="1:1" x14ac:dyDescent="0.25">
      <c r="A195" s="658" t="s">
        <v>1373</v>
      </c>
    </row>
    <row r="196" spans="1:1" x14ac:dyDescent="0.25">
      <c r="A196" s="658" t="s">
        <v>1374</v>
      </c>
    </row>
    <row r="197" spans="1:1" x14ac:dyDescent="0.25">
      <c r="A197" s="658" t="s">
        <v>1375</v>
      </c>
    </row>
    <row r="198" spans="1:1" x14ac:dyDescent="0.25">
      <c r="A198" s="658" t="s">
        <v>1376</v>
      </c>
    </row>
    <row r="199" spans="1:1" x14ac:dyDescent="0.25">
      <c r="A199" s="658" t="s">
        <v>1377</v>
      </c>
    </row>
    <row r="200" spans="1:1" x14ac:dyDescent="0.25">
      <c r="A200" s="658" t="s">
        <v>1378</v>
      </c>
    </row>
    <row r="201" spans="1:1" x14ac:dyDescent="0.25">
      <c r="A201" s="658" t="s">
        <v>1379</v>
      </c>
    </row>
    <row r="202" spans="1:1" x14ac:dyDescent="0.25">
      <c r="A202" s="658" t="s">
        <v>1380</v>
      </c>
    </row>
    <row r="203" spans="1:1" x14ac:dyDescent="0.25">
      <c r="A203" s="658" t="s">
        <v>1381</v>
      </c>
    </row>
    <row r="204" spans="1:1" x14ac:dyDescent="0.25">
      <c r="A204" s="658" t="s">
        <v>1382</v>
      </c>
    </row>
    <row r="205" spans="1:1" x14ac:dyDescent="0.25">
      <c r="A205" s="658" t="s">
        <v>1383</v>
      </c>
    </row>
    <row r="206" spans="1:1" x14ac:dyDescent="0.25">
      <c r="A206" s="658" t="s">
        <v>1384</v>
      </c>
    </row>
    <row r="207" spans="1:1" x14ac:dyDescent="0.25">
      <c r="A207" s="658" t="s">
        <v>1385</v>
      </c>
    </row>
    <row r="208" spans="1:1" x14ac:dyDescent="0.25">
      <c r="A208" s="658" t="s">
        <v>1386</v>
      </c>
    </row>
    <row r="209" spans="1:1" x14ac:dyDescent="0.25">
      <c r="A209" s="658" t="s">
        <v>1387</v>
      </c>
    </row>
    <row r="210" spans="1:1" x14ac:dyDescent="0.25">
      <c r="A210" s="658" t="s">
        <v>1388</v>
      </c>
    </row>
    <row r="211" spans="1:1" x14ac:dyDescent="0.25">
      <c r="A211" s="658" t="s">
        <v>1389</v>
      </c>
    </row>
    <row r="212" spans="1:1" x14ac:dyDescent="0.25">
      <c r="A212" s="658" t="s">
        <v>1390</v>
      </c>
    </row>
    <row r="213" spans="1:1" x14ac:dyDescent="0.25">
      <c r="A213" s="658" t="s">
        <v>1391</v>
      </c>
    </row>
    <row r="214" spans="1:1" x14ac:dyDescent="0.25">
      <c r="A214" s="658" t="s">
        <v>1392</v>
      </c>
    </row>
    <row r="215" spans="1:1" x14ac:dyDescent="0.25">
      <c r="A215" s="658" t="s">
        <v>1393</v>
      </c>
    </row>
    <row r="216" spans="1:1" x14ac:dyDescent="0.25">
      <c r="A216" s="658" t="s">
        <v>1394</v>
      </c>
    </row>
    <row r="217" spans="1:1" x14ac:dyDescent="0.25">
      <c r="A217" s="658" t="s">
        <v>1395</v>
      </c>
    </row>
    <row r="218" spans="1:1" x14ac:dyDescent="0.25">
      <c r="A218" s="658" t="s">
        <v>1396</v>
      </c>
    </row>
    <row r="219" spans="1:1" x14ac:dyDescent="0.25">
      <c r="A219" s="658" t="s">
        <v>1397</v>
      </c>
    </row>
    <row r="220" spans="1:1" x14ac:dyDescent="0.25">
      <c r="A220" s="658" t="s">
        <v>1398</v>
      </c>
    </row>
    <row r="221" spans="1:1" x14ac:dyDescent="0.25">
      <c r="A221" s="658" t="s">
        <v>1399</v>
      </c>
    </row>
    <row r="222" spans="1:1" x14ac:dyDescent="0.25">
      <c r="A222" s="658" t="s">
        <v>1400</v>
      </c>
    </row>
    <row r="223" spans="1:1" x14ac:dyDescent="0.25">
      <c r="A223" s="658" t="s">
        <v>1401</v>
      </c>
    </row>
    <row r="224" spans="1:1" x14ac:dyDescent="0.25">
      <c r="A224" s="658" t="s">
        <v>1402</v>
      </c>
    </row>
    <row r="225" spans="1:1" x14ac:dyDescent="0.25">
      <c r="A225" s="658" t="s">
        <v>1403</v>
      </c>
    </row>
    <row r="226" spans="1:1" x14ac:dyDescent="0.25">
      <c r="A226" s="658" t="s">
        <v>1404</v>
      </c>
    </row>
    <row r="227" spans="1:1" x14ac:dyDescent="0.25">
      <c r="A227" s="658" t="s">
        <v>1405</v>
      </c>
    </row>
    <row r="228" spans="1:1" x14ac:dyDescent="0.25">
      <c r="A228" s="658" t="s">
        <v>1406</v>
      </c>
    </row>
    <row r="229" spans="1:1" x14ac:dyDescent="0.25">
      <c r="A229" s="658" t="s">
        <v>1407</v>
      </c>
    </row>
    <row r="230" spans="1:1" x14ac:dyDescent="0.25">
      <c r="A230" s="658" t="s">
        <v>1408</v>
      </c>
    </row>
    <row r="231" spans="1:1" x14ac:dyDescent="0.25">
      <c r="A231" s="658" t="s">
        <v>1409</v>
      </c>
    </row>
    <row r="232" spans="1:1" x14ac:dyDescent="0.25">
      <c r="A232" s="658" t="s">
        <v>1410</v>
      </c>
    </row>
    <row r="233" spans="1:1" x14ac:dyDescent="0.25">
      <c r="A233" s="658" t="s">
        <v>1411</v>
      </c>
    </row>
    <row r="234" spans="1:1" x14ac:dyDescent="0.25">
      <c r="A234" s="658" t="s">
        <v>1412</v>
      </c>
    </row>
    <row r="235" spans="1:1" x14ac:dyDescent="0.25">
      <c r="A235" s="658" t="s">
        <v>1413</v>
      </c>
    </row>
    <row r="236" spans="1:1" x14ac:dyDescent="0.25">
      <c r="A236" s="658" t="s">
        <v>1414</v>
      </c>
    </row>
    <row r="237" spans="1:1" x14ac:dyDescent="0.25">
      <c r="A237" s="658" t="s">
        <v>1415</v>
      </c>
    </row>
    <row r="238" spans="1:1" x14ac:dyDescent="0.25">
      <c r="A238" s="658" t="s">
        <v>1416</v>
      </c>
    </row>
    <row r="239" spans="1:1" x14ac:dyDescent="0.25">
      <c r="A239" s="658" t="s">
        <v>1417</v>
      </c>
    </row>
    <row r="240" spans="1:1" x14ac:dyDescent="0.25">
      <c r="A240" s="658" t="s">
        <v>1418</v>
      </c>
    </row>
    <row r="241" spans="1:1" x14ac:dyDescent="0.25">
      <c r="A241" s="658" t="s">
        <v>1419</v>
      </c>
    </row>
    <row r="242" spans="1:1" x14ac:dyDescent="0.25">
      <c r="A242" s="658" t="s">
        <v>1420</v>
      </c>
    </row>
    <row r="243" spans="1:1" x14ac:dyDescent="0.25">
      <c r="A243" s="658" t="s">
        <v>1421</v>
      </c>
    </row>
    <row r="244" spans="1:1" x14ac:dyDescent="0.25">
      <c r="A244" s="658" t="s">
        <v>1422</v>
      </c>
    </row>
    <row r="245" spans="1:1" x14ac:dyDescent="0.25">
      <c r="A245" s="658" t="s">
        <v>1423</v>
      </c>
    </row>
    <row r="246" spans="1:1" x14ac:dyDescent="0.25">
      <c r="A246" s="658" t="s">
        <v>1424</v>
      </c>
    </row>
    <row r="247" spans="1:1" x14ac:dyDescent="0.25">
      <c r="A247" s="658" t="s">
        <v>1425</v>
      </c>
    </row>
    <row r="248" spans="1:1" x14ac:dyDescent="0.25">
      <c r="A248" s="658" t="s">
        <v>1426</v>
      </c>
    </row>
    <row r="249" spans="1:1" x14ac:dyDescent="0.25">
      <c r="A249" s="658" t="s">
        <v>1427</v>
      </c>
    </row>
    <row r="250" spans="1:1" x14ac:dyDescent="0.25">
      <c r="A250" s="658" t="s">
        <v>1428</v>
      </c>
    </row>
    <row r="251" spans="1:1" x14ac:dyDescent="0.25">
      <c r="A251" s="658" t="s">
        <v>1429</v>
      </c>
    </row>
    <row r="252" spans="1:1" x14ac:dyDescent="0.25">
      <c r="A252" s="658" t="s">
        <v>1430</v>
      </c>
    </row>
    <row r="253" spans="1:1" x14ac:dyDescent="0.25">
      <c r="A253" s="658" t="s">
        <v>1431</v>
      </c>
    </row>
    <row r="254" spans="1:1" x14ac:dyDescent="0.25">
      <c r="A254" s="658" t="s">
        <v>1432</v>
      </c>
    </row>
    <row r="255" spans="1:1" x14ac:dyDescent="0.25">
      <c r="A255" s="658" t="s">
        <v>1433</v>
      </c>
    </row>
    <row r="256" spans="1:1" x14ac:dyDescent="0.25">
      <c r="A256" s="658" t="s">
        <v>1434</v>
      </c>
    </row>
    <row r="257" spans="1:1" x14ac:dyDescent="0.25">
      <c r="A257" s="658" t="s">
        <v>1435</v>
      </c>
    </row>
    <row r="258" spans="1:1" x14ac:dyDescent="0.25">
      <c r="A258" s="658" t="s">
        <v>1436</v>
      </c>
    </row>
    <row r="259" spans="1:1" x14ac:dyDescent="0.25">
      <c r="A259" s="658" t="s">
        <v>1437</v>
      </c>
    </row>
    <row r="260" spans="1:1" x14ac:dyDescent="0.25">
      <c r="A260" s="658" t="s">
        <v>1438</v>
      </c>
    </row>
    <row r="261" spans="1:1" x14ac:dyDescent="0.25">
      <c r="A261" s="658" t="s">
        <v>1439</v>
      </c>
    </row>
    <row r="262" spans="1:1" x14ac:dyDescent="0.25">
      <c r="A262" s="658" t="s">
        <v>1440</v>
      </c>
    </row>
    <row r="263" spans="1:1" x14ac:dyDescent="0.25">
      <c r="A263" s="658" t="s">
        <v>1441</v>
      </c>
    </row>
    <row r="264" spans="1:1" x14ac:dyDescent="0.25">
      <c r="A264" s="658" t="s">
        <v>1442</v>
      </c>
    </row>
    <row r="265" spans="1:1" x14ac:dyDescent="0.25">
      <c r="A265" s="658" t="s">
        <v>1443</v>
      </c>
    </row>
    <row r="266" spans="1:1" x14ac:dyDescent="0.25">
      <c r="A266" s="658" t="s">
        <v>1444</v>
      </c>
    </row>
    <row r="267" spans="1:1" x14ac:dyDescent="0.25">
      <c r="A267" s="658" t="s">
        <v>1445</v>
      </c>
    </row>
    <row r="268" spans="1:1" x14ac:dyDescent="0.25">
      <c r="A268" s="658" t="s">
        <v>1446</v>
      </c>
    </row>
    <row r="269" spans="1:1" x14ac:dyDescent="0.25">
      <c r="A269" s="658" t="s">
        <v>1447</v>
      </c>
    </row>
    <row r="270" spans="1:1" x14ac:dyDescent="0.25">
      <c r="A270" s="658" t="s">
        <v>1448</v>
      </c>
    </row>
    <row r="271" spans="1:1" x14ac:dyDescent="0.25">
      <c r="A271" s="658" t="s">
        <v>1449</v>
      </c>
    </row>
    <row r="272" spans="1:1" x14ac:dyDescent="0.25">
      <c r="A272" s="658" t="s">
        <v>1450</v>
      </c>
    </row>
    <row r="273" spans="1:1" x14ac:dyDescent="0.25">
      <c r="A273" s="658" t="s">
        <v>1451</v>
      </c>
    </row>
    <row r="274" spans="1:1" x14ac:dyDescent="0.25">
      <c r="A274" s="658" t="s">
        <v>1452</v>
      </c>
    </row>
    <row r="275" spans="1:1" x14ac:dyDescent="0.25">
      <c r="A275" s="658" t="s">
        <v>1453</v>
      </c>
    </row>
    <row r="276" spans="1:1" x14ac:dyDescent="0.25">
      <c r="A276" s="658" t="s">
        <v>1454</v>
      </c>
    </row>
    <row r="277" spans="1:1" x14ac:dyDescent="0.25">
      <c r="A277" s="658" t="s">
        <v>1455</v>
      </c>
    </row>
    <row r="278" spans="1:1" x14ac:dyDescent="0.25">
      <c r="A278" s="658" t="s">
        <v>1456</v>
      </c>
    </row>
    <row r="279" spans="1:1" x14ac:dyDescent="0.25">
      <c r="A279" s="658" t="s">
        <v>1457</v>
      </c>
    </row>
    <row r="280" spans="1:1" x14ac:dyDescent="0.25">
      <c r="A280" s="658" t="s">
        <v>1458</v>
      </c>
    </row>
    <row r="281" spans="1:1" x14ac:dyDescent="0.25">
      <c r="A281" s="658" t="s">
        <v>1459</v>
      </c>
    </row>
    <row r="282" spans="1:1" x14ac:dyDescent="0.25">
      <c r="A282" s="658" t="s">
        <v>1460</v>
      </c>
    </row>
    <row r="283" spans="1:1" x14ac:dyDescent="0.25">
      <c r="A283" s="658" t="s">
        <v>1461</v>
      </c>
    </row>
    <row r="284" spans="1:1" x14ac:dyDescent="0.25">
      <c r="A284" s="658" t="s">
        <v>1462</v>
      </c>
    </row>
    <row r="285" spans="1:1" x14ac:dyDescent="0.25">
      <c r="A285" s="658" t="s">
        <v>1463</v>
      </c>
    </row>
    <row r="286" spans="1:1" x14ac:dyDescent="0.25">
      <c r="A286" s="658" t="s">
        <v>1464</v>
      </c>
    </row>
    <row r="287" spans="1:1" x14ac:dyDescent="0.25">
      <c r="A287" s="658" t="s">
        <v>1465</v>
      </c>
    </row>
    <row r="288" spans="1:1" x14ac:dyDescent="0.25">
      <c r="A288" s="658" t="s">
        <v>1466</v>
      </c>
    </row>
    <row r="289" spans="1:1" x14ac:dyDescent="0.25">
      <c r="A289" s="658" t="s">
        <v>1467</v>
      </c>
    </row>
    <row r="290" spans="1:1" x14ac:dyDescent="0.25">
      <c r="A290" s="658" t="s">
        <v>1468</v>
      </c>
    </row>
    <row r="291" spans="1:1" x14ac:dyDescent="0.25">
      <c r="A291" s="658" t="s">
        <v>1469</v>
      </c>
    </row>
    <row r="292" spans="1:1" x14ac:dyDescent="0.25">
      <c r="A292" s="658" t="s">
        <v>1470</v>
      </c>
    </row>
    <row r="293" spans="1:1" x14ac:dyDescent="0.25">
      <c r="A293" s="658" t="s">
        <v>1471</v>
      </c>
    </row>
    <row r="294" spans="1:1" x14ac:dyDescent="0.25">
      <c r="A294" s="658" t="s">
        <v>1472</v>
      </c>
    </row>
    <row r="295" spans="1:1" x14ac:dyDescent="0.25">
      <c r="A295" s="658" t="s">
        <v>1473</v>
      </c>
    </row>
    <row r="296" spans="1:1" x14ac:dyDescent="0.25">
      <c r="A296" s="658" t="s">
        <v>1474</v>
      </c>
    </row>
    <row r="297" spans="1:1" x14ac:dyDescent="0.25">
      <c r="A297" s="658" t="s">
        <v>1475</v>
      </c>
    </row>
    <row r="298" spans="1:1" x14ac:dyDescent="0.25">
      <c r="A298" s="658" t="s">
        <v>1476</v>
      </c>
    </row>
    <row r="299" spans="1:1" x14ac:dyDescent="0.25">
      <c r="A299" s="658" t="s">
        <v>1477</v>
      </c>
    </row>
    <row r="300" spans="1:1" x14ac:dyDescent="0.25">
      <c r="A300" s="658" t="s">
        <v>1478</v>
      </c>
    </row>
    <row r="301" spans="1:1" x14ac:dyDescent="0.25">
      <c r="A301" s="658" t="s">
        <v>1479</v>
      </c>
    </row>
    <row r="302" spans="1:1" x14ac:dyDescent="0.25">
      <c r="A302" s="658" t="s">
        <v>1480</v>
      </c>
    </row>
    <row r="303" spans="1:1" x14ac:dyDescent="0.25">
      <c r="A303" s="658" t="s">
        <v>1481</v>
      </c>
    </row>
    <row r="304" spans="1:1" x14ac:dyDescent="0.25">
      <c r="A304" s="658" t="s">
        <v>1482</v>
      </c>
    </row>
    <row r="305" spans="1:1" x14ac:dyDescent="0.25">
      <c r="A305" s="658" t="s">
        <v>1483</v>
      </c>
    </row>
    <row r="306" spans="1:1" x14ac:dyDescent="0.25">
      <c r="A306" s="658" t="s">
        <v>1484</v>
      </c>
    </row>
    <row r="307" spans="1:1" x14ac:dyDescent="0.25">
      <c r="A307" s="658" t="s">
        <v>1485</v>
      </c>
    </row>
    <row r="308" spans="1:1" x14ac:dyDescent="0.25">
      <c r="A308" s="658" t="s">
        <v>1486</v>
      </c>
    </row>
    <row r="309" spans="1:1" x14ac:dyDescent="0.25">
      <c r="A309" s="658" t="s">
        <v>1487</v>
      </c>
    </row>
    <row r="310" spans="1:1" x14ac:dyDescent="0.25">
      <c r="A310" s="658" t="s">
        <v>1488</v>
      </c>
    </row>
    <row r="311" spans="1:1" x14ac:dyDescent="0.25">
      <c r="A311" s="658" t="s">
        <v>1489</v>
      </c>
    </row>
    <row r="312" spans="1:1" x14ac:dyDescent="0.25">
      <c r="A312" s="658" t="s">
        <v>1490</v>
      </c>
    </row>
    <row r="313" spans="1:1" x14ac:dyDescent="0.25">
      <c r="A313" s="658" t="s">
        <v>1491</v>
      </c>
    </row>
    <row r="314" spans="1:1" x14ac:dyDescent="0.25">
      <c r="A314" s="658" t="s">
        <v>1492</v>
      </c>
    </row>
    <row r="315" spans="1:1" x14ac:dyDescent="0.25">
      <c r="A315" s="658" t="s">
        <v>1493</v>
      </c>
    </row>
    <row r="316" spans="1:1" x14ac:dyDescent="0.25">
      <c r="A316" s="658" t="s">
        <v>1494</v>
      </c>
    </row>
    <row r="317" spans="1:1" x14ac:dyDescent="0.25">
      <c r="A317" s="658" t="s">
        <v>1495</v>
      </c>
    </row>
    <row r="318" spans="1:1" x14ac:dyDescent="0.25">
      <c r="A318" s="658" t="s">
        <v>1496</v>
      </c>
    </row>
    <row r="319" spans="1:1" x14ac:dyDescent="0.25">
      <c r="A319" s="658" t="s">
        <v>1497</v>
      </c>
    </row>
    <row r="320" spans="1:1" x14ac:dyDescent="0.25">
      <c r="A320" s="658" t="s">
        <v>1498</v>
      </c>
    </row>
    <row r="321" spans="1:1" x14ac:dyDescent="0.25">
      <c r="A321" s="658" t="s">
        <v>1499</v>
      </c>
    </row>
    <row r="322" spans="1:1" x14ac:dyDescent="0.25">
      <c r="A322" s="658" t="s">
        <v>1500</v>
      </c>
    </row>
    <row r="323" spans="1:1" x14ac:dyDescent="0.25">
      <c r="A323" s="658" t="s">
        <v>1501</v>
      </c>
    </row>
    <row r="324" spans="1:1" x14ac:dyDescent="0.25">
      <c r="A324" s="658" t="s">
        <v>1502</v>
      </c>
    </row>
    <row r="325" spans="1:1" x14ac:dyDescent="0.25">
      <c r="A325" s="658" t="s">
        <v>1503</v>
      </c>
    </row>
    <row r="326" spans="1:1" x14ac:dyDescent="0.25">
      <c r="A326" s="658" t="s">
        <v>1504</v>
      </c>
    </row>
    <row r="327" spans="1:1" x14ac:dyDescent="0.25">
      <c r="A327" s="658" t="s">
        <v>1505</v>
      </c>
    </row>
    <row r="328" spans="1:1" x14ac:dyDescent="0.25">
      <c r="A328" s="658" t="s">
        <v>1506</v>
      </c>
    </row>
    <row r="329" spans="1:1" x14ac:dyDescent="0.25">
      <c r="A329" s="658" t="s">
        <v>1507</v>
      </c>
    </row>
    <row r="330" spans="1:1" x14ac:dyDescent="0.25">
      <c r="A330" s="658" t="s">
        <v>1508</v>
      </c>
    </row>
    <row r="331" spans="1:1" x14ac:dyDescent="0.25">
      <c r="A331" s="658" t="s">
        <v>1509</v>
      </c>
    </row>
    <row r="332" spans="1:1" x14ac:dyDescent="0.25">
      <c r="A332" s="658" t="s">
        <v>1510</v>
      </c>
    </row>
    <row r="333" spans="1:1" x14ac:dyDescent="0.25">
      <c r="A333" s="658" t="s">
        <v>1511</v>
      </c>
    </row>
    <row r="334" spans="1:1" x14ac:dyDescent="0.25">
      <c r="A334" s="658" t="s">
        <v>1512</v>
      </c>
    </row>
    <row r="335" spans="1:1" x14ac:dyDescent="0.25">
      <c r="A335" s="658" t="s">
        <v>1513</v>
      </c>
    </row>
    <row r="336" spans="1:1" x14ac:dyDescent="0.25">
      <c r="A336" s="658" t="s">
        <v>1514</v>
      </c>
    </row>
    <row r="337" spans="1:1" x14ac:dyDescent="0.25">
      <c r="A337" s="658" t="s">
        <v>1515</v>
      </c>
    </row>
    <row r="338" spans="1:1" x14ac:dyDescent="0.25">
      <c r="A338" s="658" t="s">
        <v>1516</v>
      </c>
    </row>
    <row r="339" spans="1:1" x14ac:dyDescent="0.25">
      <c r="A339" s="658" t="s">
        <v>1517</v>
      </c>
    </row>
    <row r="340" spans="1:1" x14ac:dyDescent="0.25">
      <c r="A340" s="658" t="s">
        <v>1518</v>
      </c>
    </row>
    <row r="341" spans="1:1" x14ac:dyDescent="0.25">
      <c r="A341" s="658" t="s">
        <v>1519</v>
      </c>
    </row>
    <row r="342" spans="1:1" x14ac:dyDescent="0.25">
      <c r="A342" s="658" t="s">
        <v>1520</v>
      </c>
    </row>
    <row r="343" spans="1:1" x14ac:dyDescent="0.25">
      <c r="A343" s="658" t="s">
        <v>1521</v>
      </c>
    </row>
    <row r="344" spans="1:1" x14ac:dyDescent="0.25">
      <c r="A344" s="658" t="s">
        <v>1522</v>
      </c>
    </row>
    <row r="345" spans="1:1" x14ac:dyDescent="0.25">
      <c r="A345" s="658" t="s">
        <v>1523</v>
      </c>
    </row>
    <row r="346" spans="1:1" x14ac:dyDescent="0.25">
      <c r="A346" s="658" t="s">
        <v>1524</v>
      </c>
    </row>
    <row r="347" spans="1:1" x14ac:dyDescent="0.25">
      <c r="A347" s="658" t="s">
        <v>1525</v>
      </c>
    </row>
    <row r="348" spans="1:1" x14ac:dyDescent="0.25">
      <c r="A348" s="658" t="s">
        <v>1526</v>
      </c>
    </row>
    <row r="349" spans="1:1" x14ac:dyDescent="0.25">
      <c r="A349" s="658" t="s">
        <v>1527</v>
      </c>
    </row>
    <row r="350" spans="1:1" x14ac:dyDescent="0.25">
      <c r="A350" s="658" t="s">
        <v>1528</v>
      </c>
    </row>
    <row r="351" spans="1:1" x14ac:dyDescent="0.25">
      <c r="A351" s="658" t="s">
        <v>1529</v>
      </c>
    </row>
    <row r="352" spans="1:1" x14ac:dyDescent="0.25">
      <c r="A352" s="658" t="s">
        <v>1530</v>
      </c>
    </row>
    <row r="353" spans="1:1" x14ac:dyDescent="0.25">
      <c r="A353" s="658" t="s">
        <v>1531</v>
      </c>
    </row>
    <row r="354" spans="1:1" x14ac:dyDescent="0.25">
      <c r="A354" s="658" t="s">
        <v>1532</v>
      </c>
    </row>
    <row r="355" spans="1:1" x14ac:dyDescent="0.25">
      <c r="A355" s="658" t="s">
        <v>1533</v>
      </c>
    </row>
    <row r="356" spans="1:1" x14ac:dyDescent="0.25">
      <c r="A356" s="658" t="s">
        <v>1534</v>
      </c>
    </row>
    <row r="357" spans="1:1" x14ac:dyDescent="0.25">
      <c r="A357" s="658" t="s">
        <v>1535</v>
      </c>
    </row>
    <row r="358" spans="1:1" x14ac:dyDescent="0.25">
      <c r="A358" s="658" t="s">
        <v>1536</v>
      </c>
    </row>
    <row r="359" spans="1:1" x14ac:dyDescent="0.25">
      <c r="A359" s="658" t="s">
        <v>1537</v>
      </c>
    </row>
    <row r="360" spans="1:1" x14ac:dyDescent="0.25">
      <c r="A360" s="658" t="s">
        <v>1538</v>
      </c>
    </row>
    <row r="361" spans="1:1" x14ac:dyDescent="0.25">
      <c r="A361" s="658" t="s">
        <v>1539</v>
      </c>
    </row>
    <row r="362" spans="1:1" x14ac:dyDescent="0.25">
      <c r="A362" s="658" t="s">
        <v>1540</v>
      </c>
    </row>
    <row r="363" spans="1:1" x14ac:dyDescent="0.25">
      <c r="A363" s="658" t="s">
        <v>1541</v>
      </c>
    </row>
    <row r="364" spans="1:1" x14ac:dyDescent="0.25">
      <c r="A364" s="658" t="s">
        <v>1542</v>
      </c>
    </row>
    <row r="365" spans="1:1" x14ac:dyDescent="0.25">
      <c r="A365" s="658" t="s">
        <v>1543</v>
      </c>
    </row>
    <row r="366" spans="1:1" x14ac:dyDescent="0.25">
      <c r="A366" s="658" t="s">
        <v>1544</v>
      </c>
    </row>
    <row r="367" spans="1:1" x14ac:dyDescent="0.25">
      <c r="A367" s="658" t="s">
        <v>1545</v>
      </c>
    </row>
    <row r="368" spans="1:1" x14ac:dyDescent="0.25">
      <c r="A368" s="658" t="s">
        <v>1546</v>
      </c>
    </row>
    <row r="369" spans="1:1" x14ac:dyDescent="0.25">
      <c r="A369" s="658" t="s">
        <v>1547</v>
      </c>
    </row>
    <row r="370" spans="1:1" x14ac:dyDescent="0.25">
      <c r="A370" s="658" t="s">
        <v>1548</v>
      </c>
    </row>
    <row r="371" spans="1:1" x14ac:dyDescent="0.25">
      <c r="A371" s="658" t="s">
        <v>1549</v>
      </c>
    </row>
    <row r="372" spans="1:1" x14ac:dyDescent="0.25">
      <c r="A372" s="658" t="s">
        <v>1550</v>
      </c>
    </row>
    <row r="373" spans="1:1" x14ac:dyDescent="0.25">
      <c r="A373" s="658" t="s">
        <v>1551</v>
      </c>
    </row>
    <row r="374" spans="1:1" x14ac:dyDescent="0.25">
      <c r="A374" s="658" t="s">
        <v>1552</v>
      </c>
    </row>
    <row r="375" spans="1:1" x14ac:dyDescent="0.25">
      <c r="A375" s="658" t="s">
        <v>1553</v>
      </c>
    </row>
    <row r="376" spans="1:1" x14ac:dyDescent="0.25">
      <c r="A376" s="658" t="s">
        <v>1554</v>
      </c>
    </row>
    <row r="377" spans="1:1" x14ac:dyDescent="0.25">
      <c r="A377" s="658" t="s">
        <v>1555</v>
      </c>
    </row>
    <row r="378" spans="1:1" x14ac:dyDescent="0.25">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N1" zoomScaleNormal="100" workbookViewId="0">
      <selection activeCell="T7" sqref="T7"/>
    </sheetView>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19"/>
      <c r="G1" s="719"/>
      <c r="H1" s="719"/>
      <c r="I1" s="719"/>
      <c r="J1" s="719"/>
      <c r="K1" s="720"/>
      <c r="L1" s="720"/>
      <c r="M1" s="720"/>
      <c r="N1" s="720"/>
      <c r="O1" s="720"/>
    </row>
    <row r="2" spans="1:23" ht="15.75" customHeight="1" x14ac:dyDescent="0.25">
      <c r="B2" s="2"/>
      <c r="C2" s="2"/>
      <c r="D2" s="724"/>
      <c r="E2" s="724"/>
    </row>
    <row r="3" spans="1:23" ht="15.75" customHeight="1" x14ac:dyDescent="0.5">
      <c r="A3" s="6"/>
      <c r="B3" s="6"/>
      <c r="C3" s="6"/>
      <c r="D3" s="6"/>
      <c r="E3" s="6"/>
      <c r="F3" s="7"/>
      <c r="G3" s="7"/>
      <c r="H3" s="7"/>
      <c r="I3" s="7"/>
      <c r="J3" s="7"/>
      <c r="K3" s="7"/>
      <c r="L3" s="7"/>
      <c r="M3" s="7"/>
      <c r="N3" s="7"/>
      <c r="O3" s="7"/>
      <c r="P3" s="7"/>
      <c r="Q3" s="717" t="s">
        <v>15</v>
      </c>
      <c r="R3" s="718"/>
      <c r="S3" s="718"/>
    </row>
    <row r="4" spans="1:23" ht="35.25" customHeight="1" x14ac:dyDescent="0.5">
      <c r="A4" s="6"/>
      <c r="B4" s="6"/>
      <c r="C4" s="6"/>
      <c r="D4" s="6"/>
      <c r="E4" s="6"/>
      <c r="F4" s="7"/>
      <c r="G4" s="7"/>
      <c r="H4" s="7"/>
      <c r="I4" s="7"/>
      <c r="J4" s="7"/>
      <c r="K4" s="7"/>
      <c r="L4" s="7"/>
      <c r="M4" s="7"/>
      <c r="N4" s="7"/>
      <c r="O4" s="7"/>
      <c r="P4" s="7"/>
      <c r="Q4" s="722" t="s">
        <v>16</v>
      </c>
      <c r="R4" s="715" t="s">
        <v>17</v>
      </c>
      <c r="S4" s="715"/>
      <c r="T4" s="715"/>
      <c r="U4" s="715"/>
      <c r="V4" s="715"/>
      <c r="W4" s="716"/>
    </row>
    <row r="5" spans="1:23" ht="16.5" customHeight="1" x14ac:dyDescent="0.5">
      <c r="A5" s="6"/>
      <c r="B5" s="6"/>
      <c r="C5" s="6"/>
      <c r="D5" s="6"/>
      <c r="E5" s="6"/>
      <c r="F5" s="4"/>
      <c r="G5" s="4"/>
      <c r="H5" s="4"/>
      <c r="I5" s="4"/>
      <c r="J5" s="4"/>
      <c r="K5" s="4"/>
      <c r="L5" s="4"/>
      <c r="M5" s="4"/>
      <c r="N5" s="4"/>
      <c r="O5" s="4"/>
      <c r="P5" s="4"/>
      <c r="Q5" s="723"/>
      <c r="R5" s="627" t="s">
        <v>18</v>
      </c>
      <c r="S5" s="628" t="s">
        <v>19</v>
      </c>
      <c r="T5" s="629" t="s">
        <v>20</v>
      </c>
      <c r="U5" s="628" t="s">
        <v>19</v>
      </c>
      <c r="V5" s="628" t="s">
        <v>21</v>
      </c>
      <c r="W5" s="628" t="s">
        <v>19</v>
      </c>
    </row>
    <row r="6" spans="1:23" ht="16.5" customHeight="1" x14ac:dyDescent="0.5">
      <c r="B6" s="2"/>
      <c r="C6" s="2"/>
      <c r="D6" s="6"/>
      <c r="E6" s="6"/>
      <c r="F6" s="4"/>
      <c r="G6" s="4"/>
      <c r="H6" s="4"/>
      <c r="I6" s="4"/>
      <c r="J6" s="4"/>
      <c r="K6" s="4"/>
      <c r="L6" s="4"/>
      <c r="M6" s="4"/>
      <c r="N6" s="4"/>
      <c r="O6" s="4"/>
      <c r="P6" s="4"/>
      <c r="Q6" s="626" t="s">
        <v>22</v>
      </c>
      <c r="R6" s="21"/>
      <c r="S6" s="561">
        <f>R6*'G-3 Multipliers'!$Z$4</f>
        <v>0</v>
      </c>
      <c r="T6" s="21">
        <v>11</v>
      </c>
      <c r="U6" s="561">
        <f>T6*'G-3 Multipliers'!$Z$4</f>
        <v>4.4763839999999999E-2</v>
      </c>
      <c r="V6" s="21"/>
      <c r="W6" s="561">
        <f>V6*'G-3 Multipliers'!$Z$4</f>
        <v>0</v>
      </c>
    </row>
    <row r="7" spans="1:23" ht="16.5" customHeight="1" x14ac:dyDescent="0.5">
      <c r="B7" s="2"/>
      <c r="C7" s="6"/>
      <c r="D7" s="6"/>
      <c r="E7" s="6"/>
      <c r="F7" s="4"/>
      <c r="G7" s="4"/>
      <c r="H7" s="4"/>
      <c r="I7" s="4"/>
      <c r="J7" s="4"/>
      <c r="K7" s="4"/>
      <c r="L7" s="4"/>
      <c r="M7" s="4"/>
      <c r="N7" s="4"/>
      <c r="O7" s="4"/>
      <c r="P7" s="4"/>
      <c r="Q7" s="626" t="s">
        <v>23</v>
      </c>
      <c r="R7" s="21"/>
      <c r="S7" s="561">
        <f>R7*'G-3 Multipliers'!$Z$5</f>
        <v>0</v>
      </c>
      <c r="T7" s="21">
        <v>2</v>
      </c>
      <c r="U7" s="561">
        <f>T7*'G-3 Multipliers'!$Z$5</f>
        <v>7.324992000000001E-2</v>
      </c>
      <c r="V7" s="21"/>
      <c r="W7" s="561">
        <f>V7*'G-3 Multipliers'!$Z$5</f>
        <v>0</v>
      </c>
    </row>
    <row r="8" spans="1:23" ht="18" customHeight="1" x14ac:dyDescent="0.5">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25">
      <c r="B9" s="2"/>
      <c r="C9" s="2"/>
      <c r="D9" s="3"/>
      <c r="E9" s="3"/>
      <c r="F9" s="4"/>
      <c r="G9" s="4"/>
      <c r="H9" s="4"/>
      <c r="I9" s="4"/>
      <c r="J9" s="4"/>
      <c r="K9" s="4"/>
      <c r="L9" s="4"/>
      <c r="M9" s="4"/>
      <c r="N9" s="4"/>
      <c r="O9" s="4"/>
      <c r="P9" s="4"/>
      <c r="Q9" s="626" t="s">
        <v>25</v>
      </c>
      <c r="R9" s="652">
        <f t="shared" ref="R9:W9" si="0">SUM(R6:R8)</f>
        <v>0</v>
      </c>
      <c r="S9" s="560">
        <f t="shared" si="0"/>
        <v>0</v>
      </c>
      <c r="T9" s="652">
        <f t="shared" si="0"/>
        <v>13</v>
      </c>
      <c r="U9" s="560">
        <f t="shared" si="0"/>
        <v>0.11801376000000001</v>
      </c>
      <c r="V9" s="652">
        <f t="shared" si="0"/>
        <v>0</v>
      </c>
      <c r="W9" s="560">
        <f t="shared" si="0"/>
        <v>0</v>
      </c>
    </row>
    <row r="10" spans="1:23" ht="30" customHeight="1" x14ac:dyDescent="0.35">
      <c r="B10" s="2"/>
      <c r="C10" s="2"/>
      <c r="D10" s="5"/>
      <c r="E10" s="5"/>
      <c r="F10" s="721"/>
      <c r="G10" s="721"/>
      <c r="H10" s="721"/>
      <c r="I10" s="721"/>
      <c r="J10" s="721"/>
      <c r="K10" s="721"/>
      <c r="L10" s="721"/>
      <c r="M10" s="721"/>
      <c r="N10" s="721"/>
      <c r="O10" s="721"/>
      <c r="P10" s="721"/>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5"/>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x14ac:dyDescent="0.4">
      <c r="B1" s="254"/>
      <c r="C1" s="254"/>
      <c r="E1" s="255"/>
      <c r="F1" s="725"/>
      <c r="G1" s="725"/>
      <c r="H1" s="725"/>
      <c r="I1" s="725"/>
      <c r="J1" s="725"/>
      <c r="K1" s="726"/>
      <c r="L1" s="726"/>
      <c r="M1" s="726"/>
      <c r="N1" s="726"/>
      <c r="O1" s="726"/>
    </row>
    <row r="2" spans="1:18" ht="15.75" customHeight="1" x14ac:dyDescent="0.4">
      <c r="B2" s="254"/>
      <c r="C2" s="254"/>
      <c r="E2" s="255"/>
    </row>
    <row r="3" spans="1:18" ht="15.75" customHeight="1" x14ac:dyDescent="0.4">
      <c r="A3" s="255"/>
      <c r="B3" s="255"/>
      <c r="C3" s="255"/>
      <c r="D3" s="255"/>
      <c r="E3" s="255"/>
      <c r="F3" s="256"/>
      <c r="G3" s="256"/>
      <c r="H3" s="256"/>
      <c r="I3" s="256"/>
      <c r="J3" s="256"/>
      <c r="K3" s="256"/>
      <c r="L3" s="256"/>
      <c r="M3" s="256"/>
      <c r="N3" s="256"/>
      <c r="O3" s="256"/>
      <c r="P3" s="256"/>
    </row>
    <row r="4" spans="1:18" ht="16.5" customHeight="1" x14ac:dyDescent="0.4">
      <c r="A4" s="255"/>
      <c r="B4" s="255"/>
      <c r="C4" s="255"/>
      <c r="D4" s="255"/>
      <c r="E4" s="255"/>
      <c r="F4" s="256"/>
      <c r="G4" s="256"/>
      <c r="H4" s="256"/>
      <c r="I4" s="256"/>
      <c r="J4" s="256"/>
      <c r="K4" s="256"/>
      <c r="L4" s="256"/>
      <c r="M4" s="256"/>
      <c r="N4" s="256"/>
      <c r="O4" s="256"/>
      <c r="P4" s="256"/>
    </row>
    <row r="5" spans="1:18" ht="16.5" customHeight="1" x14ac:dyDescent="0.4">
      <c r="A5" s="255"/>
      <c r="B5" s="255"/>
      <c r="C5" s="255"/>
      <c r="D5" s="255"/>
      <c r="E5" s="255"/>
      <c r="F5" s="257"/>
      <c r="G5" s="257"/>
      <c r="H5" s="257"/>
      <c r="I5" s="257"/>
      <c r="J5" s="257"/>
      <c r="K5" s="257"/>
      <c r="L5" s="257"/>
      <c r="M5" s="257"/>
      <c r="N5" s="257"/>
      <c r="O5" s="257"/>
      <c r="P5" s="257"/>
      <c r="Q5" s="257"/>
      <c r="R5" s="257"/>
    </row>
    <row r="6" spans="1:18" ht="16.5" customHeight="1" x14ac:dyDescent="0.4">
      <c r="B6" s="254"/>
      <c r="C6" s="254"/>
      <c r="D6" s="255"/>
      <c r="E6" s="255"/>
      <c r="F6" s="257"/>
      <c r="G6" s="257"/>
      <c r="H6" s="257"/>
      <c r="I6" s="257"/>
      <c r="J6" s="257"/>
      <c r="K6" s="257"/>
      <c r="L6" s="257"/>
      <c r="M6" s="257"/>
      <c r="N6" s="257"/>
      <c r="O6" s="257"/>
      <c r="P6" s="257"/>
      <c r="Q6" s="257"/>
      <c r="R6" s="257"/>
    </row>
    <row r="7" spans="1:18" ht="16.5" customHeight="1" x14ac:dyDescent="0.4">
      <c r="B7" s="254"/>
      <c r="C7" s="255"/>
      <c r="D7" s="255"/>
      <c r="E7" s="255"/>
      <c r="F7" s="257"/>
      <c r="G7" s="257"/>
      <c r="H7" s="257"/>
      <c r="I7" s="257"/>
      <c r="J7" s="257"/>
      <c r="K7" s="257"/>
      <c r="L7" s="257"/>
      <c r="M7" s="257"/>
      <c r="N7" s="257"/>
      <c r="O7" s="257"/>
      <c r="P7" s="257"/>
      <c r="Q7" s="257"/>
      <c r="R7" s="257"/>
    </row>
    <row r="8" spans="1:18" ht="16.5" customHeight="1" x14ac:dyDescent="0.4">
      <c r="B8" s="254"/>
      <c r="C8" s="254"/>
      <c r="D8" s="255"/>
      <c r="E8" s="255"/>
      <c r="F8" s="257"/>
      <c r="G8" s="257"/>
      <c r="H8" s="257"/>
      <c r="I8" s="257"/>
      <c r="J8" s="257"/>
      <c r="K8" s="257"/>
      <c r="L8" s="257"/>
      <c r="M8" s="257"/>
      <c r="N8" s="257"/>
      <c r="O8" s="257"/>
      <c r="P8" s="257"/>
      <c r="Q8" s="257"/>
      <c r="R8" s="257"/>
    </row>
    <row r="9" spans="1:18" ht="16.5" customHeight="1" x14ac:dyDescent="0.25">
      <c r="B9" s="254"/>
      <c r="C9" s="254"/>
      <c r="D9" s="258"/>
      <c r="E9" s="258"/>
      <c r="F9" s="257"/>
      <c r="G9" s="257"/>
      <c r="H9" s="257"/>
      <c r="I9" s="257"/>
      <c r="J9" s="257"/>
      <c r="K9" s="257"/>
      <c r="L9" s="257"/>
      <c r="M9" s="257"/>
      <c r="N9" s="257"/>
      <c r="O9" s="257"/>
      <c r="P9" s="257"/>
      <c r="Q9" s="257"/>
      <c r="R9" s="257"/>
    </row>
    <row r="10" spans="1:18" ht="30" customHeight="1" x14ac:dyDescent="0.3">
      <c r="B10" s="254"/>
      <c r="C10" s="254"/>
      <c r="D10" s="727"/>
      <c r="E10" s="727"/>
      <c r="F10" s="727"/>
      <c r="G10" s="727"/>
      <c r="H10" s="727"/>
      <c r="I10" s="727"/>
      <c r="J10" s="727"/>
      <c r="K10" s="727"/>
      <c r="L10" s="727"/>
      <c r="M10" s="727"/>
    </row>
    <row r="11" spans="1:18" ht="16.5" customHeight="1" x14ac:dyDescent="0.25">
      <c r="B11" s="254"/>
      <c r="C11" s="254"/>
    </row>
    <row r="12" spans="1:18" ht="16.5" customHeight="1" x14ac:dyDescent="0.25">
      <c r="B12" s="254"/>
      <c r="C12" s="254"/>
    </row>
    <row r="13" spans="1:18" ht="16.5" customHeight="1" x14ac:dyDescent="0.25">
      <c r="B13" s="254"/>
      <c r="C13" s="254"/>
    </row>
    <row r="14" spans="1:18" ht="16.5" customHeight="1" x14ac:dyDescent="0.25">
      <c r="B14" s="254"/>
      <c r="C14" s="254"/>
    </row>
    <row r="15" spans="1:18" ht="16.5" customHeight="1" x14ac:dyDescent="0.25">
      <c r="B15" s="254"/>
      <c r="C15" s="254"/>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hidden="1" x14ac:dyDescent="0.25"/>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80" zoomScaleNormal="80" workbookViewId="0">
      <selection activeCell="M27" sqref="M27"/>
    </sheetView>
  </sheetViews>
  <sheetFormatPr defaultColWidth="0" defaultRowHeight="15" zeroHeight="1" x14ac:dyDescent="0.25"/>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3"/>
    <row r="2" spans="2:22" ht="19.149999999999999" customHeight="1" thickBot="1" x14ac:dyDescent="0.3">
      <c r="B2" s="743" t="str">
        <f>IF(Start!$F$12="","",Start!$F$12)</f>
        <v>16-18 Oatlands Drive</v>
      </c>
      <c r="C2" s="744"/>
      <c r="D2" s="745"/>
    </row>
    <row r="3" spans="2:22" ht="15.75" customHeight="1" x14ac:dyDescent="0.25">
      <c r="B3" s="728" t="str">
        <f ca="1">MID(CELL("filename",A1),FIND("]",CELL("filename",A1))+1,256)</f>
        <v>Headline Results</v>
      </c>
      <c r="C3" s="729"/>
      <c r="D3" s="730"/>
    </row>
    <row r="4" spans="2:22" ht="15.75" customHeight="1" thickBot="1" x14ac:dyDescent="0.3">
      <c r="B4" s="731"/>
      <c r="C4" s="732"/>
      <c r="D4" s="733"/>
    </row>
    <row r="5" spans="2:22" ht="9.9499999999999993" customHeight="1" x14ac:dyDescent="0.25"/>
    <row r="6" spans="2:22" ht="9.9499999999999993" customHeight="1" x14ac:dyDescent="0.4">
      <c r="B6" s="734"/>
      <c r="C6" s="734"/>
      <c r="K6" s="23"/>
      <c r="L6" s="23"/>
      <c r="M6" s="23"/>
      <c r="N6" s="23"/>
    </row>
    <row r="7" spans="2:22" ht="9.9499999999999993" customHeight="1" thickBot="1" x14ac:dyDescent="0.45">
      <c r="B7" s="24"/>
      <c r="C7" s="24"/>
      <c r="K7" s="23"/>
      <c r="L7" s="23"/>
      <c r="M7" s="23"/>
      <c r="N7" s="23"/>
      <c r="O7" s="25"/>
      <c r="Q7" s="25"/>
      <c r="R7" s="25"/>
    </row>
    <row r="8" spans="2:22" ht="21.95" customHeight="1" x14ac:dyDescent="0.4">
      <c r="B8" s="735" t="s">
        <v>26</v>
      </c>
      <c r="C8" s="736"/>
      <c r="D8" s="736"/>
      <c r="E8" s="736"/>
      <c r="F8" s="741" t="s">
        <v>27</v>
      </c>
      <c r="G8" s="742"/>
      <c r="H8" s="746">
        <f>IFERROR('A-1 Site Habitat Baseline'!Q259,"Check Data ⚠")</f>
        <v>1.2216</v>
      </c>
      <c r="I8" s="747"/>
      <c r="J8" s="26"/>
      <c r="K8" s="23"/>
      <c r="L8" s="23"/>
      <c r="M8" s="23"/>
      <c r="N8" s="23"/>
      <c r="O8" s="25"/>
      <c r="P8" s="25"/>
      <c r="Q8" s="25"/>
      <c r="R8" s="25"/>
      <c r="S8" s="25"/>
    </row>
    <row r="9" spans="2:22" ht="21.95" customHeight="1" x14ac:dyDescent="0.4">
      <c r="B9" s="737"/>
      <c r="C9" s="738"/>
      <c r="D9" s="738"/>
      <c r="E9" s="738"/>
      <c r="F9" s="748" t="s">
        <v>28</v>
      </c>
      <c r="G9" s="749"/>
      <c r="H9" s="750">
        <f>IFERROR('B-1 Site Hedge Baseline'!N258,"Check Data ⚠")</f>
        <v>0</v>
      </c>
      <c r="I9" s="751"/>
      <c r="K9" s="23"/>
      <c r="L9" s="23"/>
      <c r="M9" s="23"/>
      <c r="N9" s="23"/>
    </row>
    <row r="10" spans="2:22" ht="21.95" customHeight="1" thickBot="1" x14ac:dyDescent="0.45">
      <c r="B10" s="739"/>
      <c r="C10" s="740"/>
      <c r="D10" s="740"/>
      <c r="E10" s="740"/>
      <c r="F10" s="752" t="s">
        <v>29</v>
      </c>
      <c r="G10" s="753"/>
      <c r="H10" s="754">
        <f>'C-1 Site River Baseline'!R258</f>
        <v>0</v>
      </c>
      <c r="I10" s="755"/>
      <c r="K10" s="23"/>
      <c r="L10" s="23"/>
      <c r="M10" s="23"/>
      <c r="N10" s="23"/>
    </row>
    <row r="11" spans="2:22" ht="4.5" customHeight="1" thickBot="1" x14ac:dyDescent="0.45">
      <c r="H11" s="311"/>
      <c r="I11" s="311"/>
      <c r="K11" s="23"/>
      <c r="L11" s="23"/>
      <c r="M11" s="23"/>
      <c r="N11" s="23"/>
    </row>
    <row r="12" spans="2:22" ht="21.95" customHeight="1" x14ac:dyDescent="0.4">
      <c r="B12" s="735" t="s">
        <v>30</v>
      </c>
      <c r="C12" s="736"/>
      <c r="D12" s="736"/>
      <c r="E12" s="758"/>
      <c r="F12" s="741" t="s">
        <v>27</v>
      </c>
      <c r="G12" s="742"/>
      <c r="H12" s="761">
        <f>IFERROR('A-2 Site Habitat Creation'!Y257+'A-3 Site Habitat Enhancement'!AN258+'A-1 Site Habitat Baseline'!U259,"Check Data ⚠")</f>
        <v>1.2904766974953601</v>
      </c>
      <c r="I12" s="762"/>
      <c r="K12" s="23"/>
      <c r="L12" s="23"/>
      <c r="M12" s="23"/>
      <c r="N12" s="23"/>
      <c r="U12" s="734"/>
      <c r="V12" s="734"/>
    </row>
    <row r="13" spans="2:22" ht="21.95" customHeight="1" x14ac:dyDescent="0.4">
      <c r="B13" s="737"/>
      <c r="C13" s="738"/>
      <c r="D13" s="738"/>
      <c r="E13" s="759"/>
      <c r="F13" s="748" t="s">
        <v>28</v>
      </c>
      <c r="G13" s="749"/>
      <c r="H13" s="763">
        <f>IFERROR('B-2 Site Hedge Creation'!W260+'B-3 Site Hedge Enhancement'!AH258+'B-1 Site Hedge Baseline'!R258,"Check Data⚠")</f>
        <v>0</v>
      </c>
      <c r="I13" s="764"/>
      <c r="K13" s="23"/>
      <c r="L13" s="23"/>
      <c r="M13" s="23"/>
      <c r="N13" s="23"/>
      <c r="U13" s="734"/>
      <c r="V13" s="734"/>
    </row>
    <row r="14" spans="2:22" ht="21.95" customHeight="1" thickBot="1" x14ac:dyDescent="0.45">
      <c r="B14" s="739"/>
      <c r="C14" s="740"/>
      <c r="D14" s="740"/>
      <c r="E14" s="760"/>
      <c r="F14" s="752" t="s">
        <v>29</v>
      </c>
      <c r="G14" s="753"/>
      <c r="H14" s="754">
        <f>IFERROR('C-2 Site River Creation'!Z260 + 'C-3 Site River Enhancement'!AM258+'C-1 Site River Baseline'!V258,"Check Data ⚠")</f>
        <v>0</v>
      </c>
      <c r="I14" s="755"/>
      <c r="K14" s="23"/>
      <c r="L14" s="23"/>
      <c r="M14" s="23"/>
      <c r="N14" s="23"/>
    </row>
    <row r="15" spans="2:22" ht="4.5" customHeight="1" thickBot="1" x14ac:dyDescent="0.45">
      <c r="B15" s="453"/>
      <c r="C15" s="453"/>
      <c r="D15" s="453"/>
      <c r="E15" s="453"/>
      <c r="F15" s="454"/>
      <c r="G15" s="454"/>
      <c r="H15" s="455"/>
      <c r="I15" s="455"/>
      <c r="K15" s="23"/>
      <c r="L15" s="23"/>
      <c r="M15" s="23"/>
      <c r="N15" s="23"/>
    </row>
    <row r="16" spans="2:22" ht="21.95" customHeight="1" x14ac:dyDescent="0.4">
      <c r="B16" s="735" t="s">
        <v>31</v>
      </c>
      <c r="C16" s="736"/>
      <c r="D16" s="736"/>
      <c r="E16" s="758"/>
      <c r="F16" s="741" t="s">
        <v>27</v>
      </c>
      <c r="G16" s="742"/>
      <c r="H16" s="781">
        <f>IF(H8=0,0,IF(AND(H8=0,H12&gt;0),1,IFERROR((H12/H8)-1,"Check Data ⚠")))</f>
        <v>5.6382365336738793E-2</v>
      </c>
      <c r="I16" s="782"/>
      <c r="J16" s="456"/>
      <c r="K16" s="23"/>
      <c r="L16" s="23"/>
      <c r="M16" s="23"/>
      <c r="N16" s="23"/>
    </row>
    <row r="17" spans="2:14" ht="21.95" customHeight="1" x14ac:dyDescent="0.4">
      <c r="B17" s="737"/>
      <c r="C17" s="738"/>
      <c r="D17" s="738"/>
      <c r="E17" s="759"/>
      <c r="F17" s="748" t="s">
        <v>28</v>
      </c>
      <c r="G17" s="749"/>
      <c r="H17" s="783">
        <f>IF(H9=0,0,IF(AND(H9=0,H13&gt;0),1,IFERROR((H13/H9)-1,"Check Data ⚠")))</f>
        <v>0</v>
      </c>
      <c r="I17" s="784"/>
      <c r="K17" s="23"/>
      <c r="L17" s="23"/>
      <c r="M17" s="23"/>
      <c r="N17" s="23"/>
    </row>
    <row r="18" spans="2:14" ht="21.95" customHeight="1" thickBot="1" x14ac:dyDescent="0.45">
      <c r="B18" s="739"/>
      <c r="C18" s="740"/>
      <c r="D18" s="740"/>
      <c r="E18" s="760"/>
      <c r="F18" s="752" t="s">
        <v>29</v>
      </c>
      <c r="G18" s="785"/>
      <c r="H18" s="786">
        <f>IF(H10=0,0,IF(AND(H10=0,H14&gt;0),1,IFERROR((H14/H10)-1,"Check Data ⚠")))</f>
        <v>0</v>
      </c>
      <c r="I18" s="787"/>
      <c r="K18" s="23"/>
      <c r="L18" s="23"/>
      <c r="M18" s="23"/>
      <c r="N18" s="23"/>
    </row>
    <row r="19" spans="2:14" ht="24.95" customHeight="1" thickBot="1" x14ac:dyDescent="0.45">
      <c r="H19" s="311"/>
      <c r="I19" s="311"/>
      <c r="K19" s="23"/>
      <c r="L19" s="23"/>
      <c r="M19" s="23"/>
      <c r="N19" s="23"/>
    </row>
    <row r="20" spans="2:14" ht="21.95" customHeight="1" x14ac:dyDescent="0.4">
      <c r="B20" s="735" t="s">
        <v>32</v>
      </c>
      <c r="C20" s="736"/>
      <c r="D20" s="736"/>
      <c r="E20" s="736"/>
      <c r="F20" s="741" t="s">
        <v>27</v>
      </c>
      <c r="G20" s="742"/>
      <c r="H20" s="765">
        <f>IFERROR('D-1 Off Site Habitat Baseline'!Q259,"Check Data ⚠")</f>
        <v>0</v>
      </c>
      <c r="I20" s="766"/>
      <c r="K20" s="23"/>
      <c r="L20" s="23"/>
      <c r="M20" s="23"/>
      <c r="N20" s="23"/>
    </row>
    <row r="21" spans="2:14" ht="21.95" customHeight="1" x14ac:dyDescent="0.4">
      <c r="B21" s="737"/>
      <c r="C21" s="738"/>
      <c r="D21" s="738"/>
      <c r="E21" s="738"/>
      <c r="F21" s="748" t="s">
        <v>28</v>
      </c>
      <c r="G21" s="749"/>
      <c r="H21" s="767">
        <f>IFERROR('E-1 Off Site Hedge Baseline'!N258,"Check Data ⚠")</f>
        <v>0</v>
      </c>
      <c r="I21" s="768"/>
      <c r="K21" s="23"/>
      <c r="L21" s="23"/>
      <c r="M21" s="23"/>
      <c r="N21" s="23"/>
    </row>
    <row r="22" spans="2:14" ht="21.95" customHeight="1" thickBot="1" x14ac:dyDescent="0.45">
      <c r="B22" s="739"/>
      <c r="C22" s="740"/>
      <c r="D22" s="740"/>
      <c r="E22" s="740"/>
      <c r="F22" s="752" t="s">
        <v>29</v>
      </c>
      <c r="G22" s="753"/>
      <c r="H22" s="756">
        <f>IFERROR('F-1 Off Site River Baseline'!R258,"Check Data ⚠")</f>
        <v>0</v>
      </c>
      <c r="I22" s="757"/>
      <c r="K22" s="23"/>
      <c r="L22" s="23"/>
      <c r="M22" s="23"/>
      <c r="N22" s="23"/>
    </row>
    <row r="23" spans="2:14" ht="4.5" customHeight="1" thickBot="1" x14ac:dyDescent="0.45">
      <c r="H23" s="311"/>
      <c r="I23" s="311"/>
      <c r="K23" s="23"/>
      <c r="L23" s="23"/>
      <c r="M23" s="23"/>
      <c r="N23" s="23"/>
    </row>
    <row r="24" spans="2:14" ht="21.95" customHeight="1" x14ac:dyDescent="0.4">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1.95" customHeight="1" x14ac:dyDescent="0.4">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1.95" customHeight="1" thickBot="1" x14ac:dyDescent="0.45">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4.95" customHeight="1" thickBot="1" x14ac:dyDescent="0.45">
      <c r="H27" s="311"/>
      <c r="I27" s="311"/>
      <c r="K27" s="23"/>
      <c r="L27" s="23"/>
      <c r="M27" s="23"/>
      <c r="N27" s="23"/>
    </row>
    <row r="28" spans="2:14" ht="21.95" customHeight="1" x14ac:dyDescent="0.4">
      <c r="B28" s="735" t="s">
        <v>34</v>
      </c>
      <c r="C28" s="736"/>
      <c r="D28" s="736"/>
      <c r="E28" s="758"/>
      <c r="F28" s="741" t="s">
        <v>27</v>
      </c>
      <c r="G28" s="742"/>
      <c r="H28" s="761">
        <f>IFERROR((H12-H8)+((H24-H20)),"Check Data ⚠")</f>
        <v>6.8876697495360073E-2</v>
      </c>
      <c r="I28" s="762"/>
      <c r="J28" s="776"/>
      <c r="K28" s="777"/>
      <c r="L28" s="23"/>
      <c r="M28" s="23"/>
      <c r="N28" s="23"/>
    </row>
    <row r="29" spans="2:14" ht="21.95" customHeight="1" x14ac:dyDescent="0.4">
      <c r="B29" s="737"/>
      <c r="C29" s="738"/>
      <c r="D29" s="738"/>
      <c r="E29" s="759"/>
      <c r="F29" s="748" t="s">
        <v>28</v>
      </c>
      <c r="G29" s="749"/>
      <c r="H29" s="769">
        <f>IFERROR((H13-H9)+((H25-H21)),"Check Data ⚠")</f>
        <v>0</v>
      </c>
      <c r="I29" s="764"/>
      <c r="J29" s="776"/>
      <c r="K29" s="777"/>
      <c r="L29" s="23"/>
      <c r="M29" s="23"/>
      <c r="N29" s="23"/>
    </row>
    <row r="30" spans="2:14" ht="21.95" customHeight="1" thickBot="1" x14ac:dyDescent="0.45">
      <c r="B30" s="739"/>
      <c r="C30" s="740"/>
      <c r="D30" s="740"/>
      <c r="E30" s="760"/>
      <c r="F30" s="752" t="s">
        <v>29</v>
      </c>
      <c r="G30" s="753"/>
      <c r="H30" s="754">
        <f>IFERROR((H14-H10)+((H26-H22)),"Check Data ⚠")</f>
        <v>0</v>
      </c>
      <c r="I30" s="755"/>
      <c r="J30" s="776"/>
      <c r="K30" s="777"/>
      <c r="L30" s="23"/>
      <c r="M30" s="23"/>
      <c r="N30" s="23"/>
    </row>
    <row r="31" spans="2:14" ht="4.5" customHeight="1" thickBot="1" x14ac:dyDescent="0.45">
      <c r="H31" s="312"/>
      <c r="I31" s="312"/>
      <c r="K31" s="23"/>
      <c r="L31" s="23"/>
      <c r="M31" s="23"/>
      <c r="N31" s="23"/>
    </row>
    <row r="32" spans="2:14" ht="21.95" customHeight="1" x14ac:dyDescent="0.4">
      <c r="B32" s="735" t="s">
        <v>35</v>
      </c>
      <c r="C32" s="736"/>
      <c r="D32" s="736"/>
      <c r="E32" s="758"/>
      <c r="F32" s="741" t="s">
        <v>27</v>
      </c>
      <c r="G32" s="742"/>
      <c r="H32" s="781">
        <f>IF(H28=0,0,IF(AND(H8=0,H20=0,H28&gt;0),1,IFERROR((H28/H8),"Check Data ⚠")))</f>
        <v>5.6382365336738766E-2</v>
      </c>
      <c r="I32" s="782"/>
      <c r="J32" s="776"/>
      <c r="K32" s="777"/>
      <c r="L32" s="23"/>
      <c r="M32" s="23"/>
      <c r="N32" s="23"/>
    </row>
    <row r="33" spans="1:33" ht="21.95" customHeight="1" x14ac:dyDescent="0.4">
      <c r="A33" s="27"/>
      <c r="B33" s="737"/>
      <c r="C33" s="738"/>
      <c r="D33" s="738"/>
      <c r="E33" s="759"/>
      <c r="F33" s="748" t="s">
        <v>28</v>
      </c>
      <c r="G33" s="749"/>
      <c r="H33" s="783">
        <f>IF(H29=0,0,IF(AND(H9=0,H21=0,H29&gt;0),1,IFERROR((H29/H9),"Check Data ⚠")))</f>
        <v>0</v>
      </c>
      <c r="I33" s="784"/>
      <c r="J33" s="776"/>
      <c r="K33" s="777"/>
      <c r="L33" s="23"/>
      <c r="M33" s="23"/>
      <c r="N33" s="23"/>
    </row>
    <row r="34" spans="1:33" ht="21.95" customHeight="1" thickBot="1" x14ac:dyDescent="0.45">
      <c r="A34" s="27"/>
      <c r="B34" s="739"/>
      <c r="C34" s="740"/>
      <c r="D34" s="740"/>
      <c r="E34" s="760"/>
      <c r="F34" s="752" t="s">
        <v>29</v>
      </c>
      <c r="G34" s="785"/>
      <c r="H34" s="786">
        <f>IF(H30=0,0,IF(AND(H10=0,H22=0,H30&gt;0),1,IFERROR((H30/H10),"Check Data ⚠")))</f>
        <v>0</v>
      </c>
      <c r="I34" s="787"/>
      <c r="J34" s="778"/>
      <c r="K34" s="779"/>
      <c r="L34" s="23"/>
      <c r="M34" s="23"/>
      <c r="N34" s="23"/>
    </row>
    <row r="35" spans="1:33" ht="24.95" customHeight="1" thickBot="1" x14ac:dyDescent="0.45">
      <c r="B35" s="780"/>
      <c r="C35" s="780"/>
      <c r="D35" s="780"/>
      <c r="F35" s="28"/>
      <c r="G35" s="28"/>
      <c r="H35" s="28"/>
      <c r="I35" s="28"/>
      <c r="J35" s="28"/>
      <c r="K35" s="28"/>
      <c r="L35" s="28"/>
      <c r="M35" s="28"/>
    </row>
    <row r="36" spans="1:33" s="29" customFormat="1" ht="38.25" customHeight="1" thickBot="1" x14ac:dyDescent="0.3">
      <c r="B36" s="770" t="s">
        <v>36</v>
      </c>
      <c r="C36" s="771"/>
      <c r="D36" s="771"/>
      <c r="E36" s="772"/>
      <c r="F36" s="773" t="str">
        <f>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75" x14ac:dyDescent="0.25">
      <c r="B37" s="30"/>
      <c r="C37" s="30"/>
      <c r="D37" s="30"/>
      <c r="E37" s="30"/>
      <c r="F37" s="30"/>
      <c r="G37" s="30"/>
      <c r="H37" s="30"/>
      <c r="I37" s="30"/>
      <c r="J37" s="30"/>
      <c r="K37" s="30"/>
      <c r="L37" s="30"/>
      <c r="M37" s="30"/>
      <c r="X37" s="29"/>
      <c r="Y37" s="29"/>
      <c r="Z37" s="29"/>
      <c r="AA37" s="29"/>
      <c r="AB37" s="29"/>
    </row>
    <row r="38" spans="1:33" ht="15.75" x14ac:dyDescent="0.25">
      <c r="B38" s="30"/>
      <c r="C38" s="30"/>
      <c r="D38" s="30"/>
      <c r="E38" s="30"/>
      <c r="F38" s="30"/>
      <c r="G38" s="30"/>
      <c r="H38" s="30"/>
      <c r="I38" s="30"/>
      <c r="J38" s="30"/>
      <c r="K38" s="30"/>
      <c r="L38" s="30"/>
      <c r="M38" s="30"/>
      <c r="X38" s="29"/>
      <c r="Y38" s="29"/>
      <c r="Z38" s="29"/>
      <c r="AA38" s="29"/>
      <c r="AB38" s="29"/>
    </row>
    <row r="39" spans="1:33" ht="15.75" hidden="1" x14ac:dyDescent="0.25">
      <c r="B39" s="30"/>
      <c r="C39" s="30"/>
      <c r="D39" s="30"/>
      <c r="E39" s="30"/>
      <c r="F39" s="30"/>
      <c r="G39" s="30"/>
      <c r="H39" s="30"/>
      <c r="I39" s="30"/>
      <c r="J39" s="30"/>
      <c r="K39" s="30"/>
      <c r="L39" s="30"/>
      <c r="M39" s="30"/>
      <c r="X39" s="29"/>
      <c r="Y39" s="29"/>
      <c r="Z39" s="29"/>
      <c r="AA39" s="29"/>
      <c r="AB39" s="29"/>
    </row>
    <row r="40" spans="1:33" ht="15.75" hidden="1" customHeight="1" x14ac:dyDescent="0.25"/>
    <row r="46" spans="1:33" ht="15.75" hidden="1" customHeight="1" x14ac:dyDescent="0.25"/>
    <row r="47" spans="1:33" ht="15.75" hidden="1" customHeight="1" x14ac:dyDescent="0.25"/>
    <row r="48" spans="1:33" ht="15.75" hidden="1" customHeight="1" x14ac:dyDescent="0.25"/>
    <row r="49" ht="15.75" hidden="1" customHeight="1" x14ac:dyDescent="0.25"/>
    <row r="50" ht="15.75" hidden="1" customHeight="1" x14ac:dyDescent="0.25"/>
    <row r="51" ht="15.75" hidden="1" customHeight="1" x14ac:dyDescent="0.25"/>
    <row r="52" ht="15.75" hidden="1" customHeight="1" x14ac:dyDescent="0.25"/>
    <row r="53" ht="15.75" hidden="1" customHeight="1" x14ac:dyDescent="0.25"/>
    <row r="54" ht="15.75" hidden="1" customHeight="1" x14ac:dyDescent="0.25"/>
    <row r="55" ht="15.75" hidden="1" customHeight="1" x14ac:dyDescent="0.25"/>
    <row r="56" ht="15.75" hidden="1" customHeight="1" x14ac:dyDescent="0.25"/>
    <row r="57" ht="15.75" hidden="1" customHeight="1" x14ac:dyDescent="0.25"/>
    <row r="58" ht="15.75" hidden="1" customHeight="1" x14ac:dyDescent="0.25"/>
    <row r="59" ht="15.75" hidden="1" customHeight="1" x14ac:dyDescent="0.25"/>
    <row r="60" ht="15.75" hidden="1" customHeight="1" x14ac:dyDescent="0.25"/>
    <row r="61" ht="15.75" hidden="1" customHeight="1" x14ac:dyDescent="0.25"/>
    <row r="62" ht="15.75" hidden="1" customHeight="1" x14ac:dyDescent="0.25"/>
    <row r="63" ht="15.75" hidden="1" customHeight="1" x14ac:dyDescent="0.25"/>
    <row r="90" ht="21.6" hidden="1" customHeight="1" x14ac:dyDescent="0.25"/>
    <row r="103" ht="64.900000000000006" hidden="1" customHeight="1" x14ac:dyDescent="0.25"/>
    <row r="106" ht="29.45" hidden="1" customHeight="1" x14ac:dyDescent="0.25"/>
    <row r="109" x14ac:dyDescent="0.25"/>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5546875" defaultRowHeight="15" x14ac:dyDescent="0.25"/>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3"/>
    <row r="2" spans="2:19" ht="22.15" customHeight="1" thickBot="1" x14ac:dyDescent="0.3">
      <c r="B2" s="832" t="str">
        <f>IF(Start!$F$12="","",Start!$F$12)</f>
        <v>16-18 Oatlands Drive</v>
      </c>
      <c r="C2" s="833"/>
      <c r="D2" s="834"/>
    </row>
    <row r="3" spans="2:19" ht="19.899999999999999" customHeight="1" x14ac:dyDescent="0.25">
      <c r="B3" s="728" t="str">
        <f ca="1">MID(CELL("filename",A1),FIND("]",CELL("filename",A1))+1,256)</f>
        <v>Detailed Results</v>
      </c>
      <c r="C3" s="729"/>
      <c r="D3" s="730"/>
    </row>
    <row r="4" spans="2:19" ht="21.6" customHeight="1" thickBot="1" x14ac:dyDescent="0.3">
      <c r="B4" s="731"/>
      <c r="C4" s="732"/>
      <c r="D4" s="733"/>
    </row>
    <row r="5" spans="2:19" ht="15.75" customHeight="1" x14ac:dyDescent="0.25"/>
    <row r="6" spans="2:19" ht="25.5" customHeight="1" thickBot="1" x14ac:dyDescent="0.3"/>
    <row r="7" spans="2:19" ht="18.75" customHeight="1" x14ac:dyDescent="0.25">
      <c r="B7" s="839" t="s">
        <v>37</v>
      </c>
      <c r="C7" s="840"/>
    </row>
    <row r="8" spans="2:19" ht="20.25" customHeight="1" thickBot="1" x14ac:dyDescent="0.3">
      <c r="B8" s="841"/>
      <c r="C8" s="842"/>
    </row>
    <row r="9" spans="2:19" ht="15.75" customHeight="1" thickBot="1" x14ac:dyDescent="0.45">
      <c r="B9" s="32"/>
      <c r="C9" s="32"/>
      <c r="O9" s="33"/>
      <c r="Q9" s="33"/>
      <c r="R9" s="33"/>
    </row>
    <row r="10" spans="2:19" ht="18" customHeight="1" x14ac:dyDescent="0.3">
      <c r="B10" s="735" t="s">
        <v>38</v>
      </c>
      <c r="C10" s="736"/>
      <c r="D10" s="736"/>
      <c r="E10" s="758"/>
      <c r="F10" s="845" t="s">
        <v>27</v>
      </c>
      <c r="G10" s="846"/>
      <c r="H10" s="843">
        <f>IFERROR('Headline Results'!$H$28:$I$28,"Check Data ⚠")</f>
        <v>6.8876697495360073E-2</v>
      </c>
      <c r="I10" s="844"/>
      <c r="J10" s="34"/>
      <c r="O10" s="33"/>
      <c r="P10" s="33"/>
      <c r="Q10" s="33"/>
      <c r="R10" s="33"/>
      <c r="S10" s="33"/>
    </row>
    <row r="11" spans="2:19" ht="15.75" customHeight="1" x14ac:dyDescent="0.3">
      <c r="B11" s="737"/>
      <c r="C11" s="738"/>
      <c r="D11" s="738"/>
      <c r="E11" s="759"/>
      <c r="F11" s="849" t="s">
        <v>28</v>
      </c>
      <c r="G11" s="856"/>
      <c r="H11" s="854">
        <f>IFERROR('Headline Results'!$H$29:$I$29,"Check Data ⚠")</f>
        <v>0</v>
      </c>
      <c r="I11" s="855"/>
    </row>
    <row r="12" spans="2:19" ht="18.600000000000001" customHeight="1" thickBot="1" x14ac:dyDescent="0.35">
      <c r="B12" s="739"/>
      <c r="C12" s="740"/>
      <c r="D12" s="740"/>
      <c r="E12" s="760"/>
      <c r="F12" s="835" t="s">
        <v>29</v>
      </c>
      <c r="G12" s="836"/>
      <c r="H12" s="837">
        <f>IFERROR('Headline Results'!$H$30:$I$30,"Check Data ⚠")</f>
        <v>0</v>
      </c>
      <c r="I12" s="838"/>
    </row>
    <row r="13" spans="2:19" ht="15.75" customHeight="1" thickBot="1" x14ac:dyDescent="0.3"/>
    <row r="14" spans="2:19" ht="18.75" customHeight="1" x14ac:dyDescent="0.25">
      <c r="B14" s="735" t="s">
        <v>39</v>
      </c>
      <c r="C14" s="736"/>
      <c r="D14" s="736"/>
      <c r="E14" s="758"/>
      <c r="F14" s="845" t="s">
        <v>27</v>
      </c>
      <c r="G14" s="853"/>
      <c r="H14" s="851">
        <f>IFERROR('Headline Results'!$H$32:$I$32,"Check Data ⚠")</f>
        <v>5.6382365336738766E-2</v>
      </c>
      <c r="I14" s="852"/>
    </row>
    <row r="15" spans="2:19" ht="18.75" customHeight="1" x14ac:dyDescent="0.25">
      <c r="B15" s="737"/>
      <c r="C15" s="738"/>
      <c r="D15" s="738"/>
      <c r="E15" s="759"/>
      <c r="F15" s="849" t="s">
        <v>28</v>
      </c>
      <c r="G15" s="850"/>
      <c r="H15" s="847">
        <f>IFERROR('Headline Results'!$H$33:$I$33,"Check Data ⚠")</f>
        <v>0</v>
      </c>
      <c r="I15" s="848"/>
    </row>
    <row r="16" spans="2:19" ht="18.75" customHeight="1" thickBot="1" x14ac:dyDescent="0.3">
      <c r="B16" s="739"/>
      <c r="C16" s="740"/>
      <c r="D16" s="740"/>
      <c r="E16" s="760"/>
      <c r="F16" s="835" t="s">
        <v>29</v>
      </c>
      <c r="G16" s="859"/>
      <c r="H16" s="857">
        <f>IFERROR('Headline Results'!$H$34:$I$34,"Check Data ⚠")</f>
        <v>0</v>
      </c>
      <c r="I16" s="858"/>
    </row>
    <row r="17" spans="2:9" ht="18.75" customHeight="1" thickBot="1" x14ac:dyDescent="0.3"/>
    <row r="18" spans="2:9" ht="25.5" customHeight="1" x14ac:dyDescent="0.25">
      <c r="B18" s="860" t="s">
        <v>40</v>
      </c>
      <c r="C18" s="860"/>
      <c r="D18" s="860"/>
      <c r="E18" s="860"/>
      <c r="F18" s="860"/>
      <c r="G18" s="860"/>
      <c r="H18" s="860"/>
      <c r="I18" s="860"/>
    </row>
    <row r="19" spans="2:9" ht="22.5" customHeight="1" thickBot="1" x14ac:dyDescent="0.3">
      <c r="B19" s="861"/>
      <c r="C19" s="861"/>
      <c r="D19" s="861"/>
      <c r="E19" s="861"/>
      <c r="F19" s="861"/>
      <c r="G19" s="861"/>
      <c r="H19" s="861"/>
      <c r="I19" s="861"/>
    </row>
    <row r="20" spans="2:9" ht="18.75" customHeight="1" thickBot="1" x14ac:dyDescent="0.45">
      <c r="B20" s="828"/>
      <c r="C20" s="828"/>
      <c r="D20" s="831" t="s">
        <v>41</v>
      </c>
      <c r="E20" s="831"/>
      <c r="F20" s="831" t="s">
        <v>42</v>
      </c>
      <c r="G20" s="831"/>
      <c r="H20" s="831" t="s">
        <v>43</v>
      </c>
      <c r="I20" s="831"/>
    </row>
    <row r="21" spans="2:9" ht="18.75" customHeight="1" x14ac:dyDescent="0.25">
      <c r="B21" s="789" t="s">
        <v>44</v>
      </c>
      <c r="C21" s="790"/>
      <c r="D21" s="829">
        <f>IF(AND($K$40=0,'A-1 Site Habitat Baseline'!Y11:Y258&lt;&gt;"No",'D-1 Off Site Habitat Baseline'!Y11:Y258&lt;&gt;"No"),'A-1 Site Habitat Baseline'!$H259+'D-1 Off Site Habitat Baseline'!H259,"Error ▲")</f>
        <v>0.44769999999999999</v>
      </c>
      <c r="E21" s="829"/>
      <c r="F21" s="821">
        <f>'B-1 Site Hedge Baseline'!$E$258+'E-1 Off Site Hedge Baseline'!$E$258</f>
        <v>0</v>
      </c>
      <c r="G21" s="821"/>
      <c r="H21" s="821">
        <f>'C-1 Site River Baseline'!$E$258+'F-1 Off Site River Baseline'!$E$258</f>
        <v>0</v>
      </c>
      <c r="I21" s="822"/>
    </row>
    <row r="22" spans="2:9" ht="18.75" customHeight="1" thickBot="1" x14ac:dyDescent="0.3">
      <c r="B22" s="791" t="s">
        <v>45</v>
      </c>
      <c r="C22" s="792"/>
      <c r="D22" s="830">
        <f>IF(AND($K$40=0,'A-1 Site Habitat Baseline'!Y11:Y258&lt;&gt;"No",'D-1 Off Site Habitat Baseline'!Y11:Y258&lt;&gt;"No"),'A-1 Site Habitat Baseline'!$Q259+'D-1 Off Site Habitat Baseline'!Q259,"Error ▲")</f>
        <v>1.2216</v>
      </c>
      <c r="E22" s="830"/>
      <c r="F22" s="823">
        <f>'B-1 Site Hedge Baseline'!$N$258+'E-1 Off Site Hedge Baseline'!$N$258</f>
        <v>0</v>
      </c>
      <c r="G22" s="823"/>
      <c r="H22" s="823">
        <f>'C-1 Site River Baseline'!$R$258+'F-1 Off Site River Baseline'!$R$258</f>
        <v>0</v>
      </c>
      <c r="I22" s="824"/>
    </row>
    <row r="23" spans="2:9" ht="18.75" customHeight="1" thickBot="1" x14ac:dyDescent="0.3">
      <c r="D23" s="34"/>
      <c r="F23" s="34"/>
      <c r="H23" s="34"/>
    </row>
    <row r="24" spans="2:9" ht="18.75" customHeight="1" x14ac:dyDescent="0.25">
      <c r="B24" s="789" t="s">
        <v>46</v>
      </c>
      <c r="C24" s="790"/>
      <c r="D24" s="829">
        <f>IF(AND($K$40=0,'A-1 Site Habitat Baseline'!Y11:Y258&lt;&gt;"No",'D-1 Off Site Habitat Baseline'!Y11:Y258&lt;&gt;"No"),'A-1 Site Habitat Baseline'!$S259+'D-1 Off Site Habitat Baseline'!S259,"Error ▲")</f>
        <v>4.8800000000000003E-2</v>
      </c>
      <c r="E24" s="829"/>
      <c r="F24" s="821">
        <f>'B-1 Site Hedge Baseline'!$P$258+'E-1 Off Site Hedge Baseline'!$P$258</f>
        <v>0</v>
      </c>
      <c r="G24" s="821"/>
      <c r="H24" s="821">
        <f>'C-1 Site River Baseline'!T258+'F-1 Off Site River Baseline'!T258</f>
        <v>0</v>
      </c>
      <c r="I24" s="822"/>
    </row>
    <row r="25" spans="2:9" ht="18.75" customHeight="1" thickBot="1" x14ac:dyDescent="0.3">
      <c r="B25" s="791" t="s">
        <v>47</v>
      </c>
      <c r="C25" s="792"/>
      <c r="D25" s="830">
        <f>IF(AND($K$40=0,'A-1 Site Habitat Baseline'!Y11:Y258&lt;&gt;"No",'D-1 Off Site Habitat Baseline'!Y11:Y258&lt;&gt;"No"),'A-1 Site Habitat Baseline'!$U259+'D-1 Off Site Habitat Baseline'!U259,"Error ▲")</f>
        <v>0.39040000000000002</v>
      </c>
      <c r="E25" s="830"/>
      <c r="F25" s="823">
        <f>'B-1 Site Hedge Baseline'!R258+'E-1 Off Site Hedge Baseline'!R258</f>
        <v>0</v>
      </c>
      <c r="G25" s="823"/>
      <c r="H25" s="823">
        <f>'C-1 Site River Baseline'!V258+'F-1 Off Site River Baseline'!V258</f>
        <v>0</v>
      </c>
      <c r="I25" s="824"/>
    </row>
    <row r="26" spans="2:9" ht="18.75" customHeight="1" thickBot="1" x14ac:dyDescent="0.3">
      <c r="D26" s="34"/>
      <c r="F26" s="34"/>
      <c r="H26" s="34"/>
    </row>
    <row r="27" spans="2:9" ht="18.75" customHeight="1" x14ac:dyDescent="0.25">
      <c r="B27" s="789" t="s">
        <v>48</v>
      </c>
      <c r="C27" s="790"/>
      <c r="D27" s="829">
        <f>IF(AND($K$40=0,'A-1 Site Habitat Baseline'!Y11:Y258&lt;&gt;"No",'D-1 Off Site Habitat Baseline'!Y11:Y258&lt;&gt;"No"),'A-1 Site Habitat Baseline'!$T259+'D-1 Off Site Habitat Baseline'!T259,"Error ▲")</f>
        <v>0</v>
      </c>
      <c r="E27" s="829"/>
      <c r="F27" s="821">
        <f>'B-1 Site Hedge Baseline'!$Q$258+'E-1 Off Site Hedge Baseline'!$Q$258</f>
        <v>0</v>
      </c>
      <c r="G27" s="821"/>
      <c r="H27" s="821">
        <f>'C-1 Site River Baseline'!U258+'F-1 Off Site River Baseline'!U258</f>
        <v>0</v>
      </c>
      <c r="I27" s="822"/>
    </row>
    <row r="28" spans="2:9" ht="18.75" customHeight="1" thickBot="1" x14ac:dyDescent="0.3">
      <c r="B28" s="791" t="s">
        <v>49</v>
      </c>
      <c r="C28" s="792"/>
      <c r="D28" s="830">
        <f>IF(AND($K$40=0,'A-1 Site Habitat Baseline'!Y11:Y258&lt;&gt;"No",'D-1 Off Site Habitat Baseline'!Y11:Y258&lt;&gt;"No"),'A-1 Site Habitat Baseline'!$V259+'D-1 Off Site Habitat Baseline'!V259,"Error ▲")</f>
        <v>0</v>
      </c>
      <c r="E28" s="830"/>
      <c r="F28" s="823">
        <f>'B-1 Site Hedge Baseline'!$S$258+'E-1 Off Site Hedge Baseline'!$S$258</f>
        <v>0</v>
      </c>
      <c r="G28" s="823"/>
      <c r="H28" s="823">
        <f>'C-1 Site River Baseline'!W258+'F-1 Off Site River Baseline'!W258</f>
        <v>0</v>
      </c>
      <c r="I28" s="824"/>
    </row>
    <row r="29" spans="2:9" ht="18.75" customHeight="1" thickBot="1" x14ac:dyDescent="0.3">
      <c r="D29" s="34"/>
      <c r="F29" s="34"/>
      <c r="H29" s="34"/>
    </row>
    <row r="30" spans="2:9" ht="18.75" customHeight="1" x14ac:dyDescent="0.25">
      <c r="B30" s="789" t="s">
        <v>50</v>
      </c>
      <c r="C30" s="790"/>
      <c r="D30" s="829">
        <f>IF(AND($K$40=0,'A-1 Site Habitat Baseline'!Y11:Y258&lt;&gt;"No",'D-1 Off Site Habitat Baseline'!Y11:Y258&lt;&gt;"No"),'A-1 Site Habitat Baseline'!$W259+'D-1 Off Site Habitat Baseline'!W259,"Error ▲")</f>
        <v>0.39889999999999998</v>
      </c>
      <c r="E30" s="829"/>
      <c r="F30" s="821">
        <f>'B-1 Site Hedge Baseline'!$T$258+'E-1 Off Site Hedge Baseline'!$T$258</f>
        <v>0</v>
      </c>
      <c r="G30" s="821"/>
      <c r="H30" s="821">
        <f>'C-1 Site River Baseline'!X258+'F-1 Off Site River Baseline'!X258</f>
        <v>0</v>
      </c>
      <c r="I30" s="822"/>
    </row>
    <row r="31" spans="2:9" ht="18.75" customHeight="1" thickBot="1" x14ac:dyDescent="0.3">
      <c r="B31" s="791" t="s">
        <v>51</v>
      </c>
      <c r="C31" s="792"/>
      <c r="D31" s="830">
        <f>IF(AND($K$40=0,'A-1 Site Habitat Baseline'!Y11:Y258&lt;&gt;"No",'D-1 Off Site Habitat Baseline'!Y11:Y258&lt;&gt;"No"),'A-1 Site Habitat Baseline'!$X259+'D-1 Off Site Habitat Baseline'!X259,"Error ▲")</f>
        <v>0.83119999999999994</v>
      </c>
      <c r="E31" s="830"/>
      <c r="F31" s="823">
        <f>'B-1 Site Hedge Baseline'!$U$258+'E-1 Off Site Hedge Baseline'!$U$258</f>
        <v>0</v>
      </c>
      <c r="G31" s="823"/>
      <c r="H31" s="823">
        <f>'C-1 Site River Baseline'!Y258+'F-1 Off Site River Baseline'!Y258</f>
        <v>0</v>
      </c>
      <c r="I31" s="824"/>
    </row>
    <row r="32" spans="2:9" ht="25.9" customHeight="1" thickBot="1" x14ac:dyDescent="0.3">
      <c r="C32" s="34"/>
      <c r="D32" s="34"/>
      <c r="E32" s="34"/>
    </row>
    <row r="33" spans="1:22" s="333" customFormat="1" ht="43.9" customHeight="1" thickTop="1" thickBot="1" x14ac:dyDescent="0.3">
      <c r="A33" s="793" t="s">
        <v>52</v>
      </c>
      <c r="C33" s="334"/>
      <c r="D33" s="334"/>
      <c r="E33" s="334"/>
    </row>
    <row r="34" spans="1:22" ht="26.25" thickBot="1" x14ac:dyDescent="0.4">
      <c r="A34" s="794"/>
      <c r="B34" s="463" t="s">
        <v>53</v>
      </c>
    </row>
    <row r="35" spans="1:22" ht="18.75" customHeight="1" thickBot="1" x14ac:dyDescent="0.3">
      <c r="A35" s="794"/>
    </row>
    <row r="36" spans="1:22" ht="22.15" customHeight="1" thickBot="1" x14ac:dyDescent="0.35">
      <c r="A36" s="794"/>
      <c r="B36" s="805" t="s">
        <v>54</v>
      </c>
      <c r="C36" s="805"/>
      <c r="D36" s="805"/>
      <c r="E36" s="805"/>
      <c r="F36" s="805"/>
      <c r="G36" s="805"/>
      <c r="H36" s="805"/>
      <c r="J36" s="809" t="s">
        <v>55</v>
      </c>
      <c r="K36" s="810"/>
      <c r="L36" s="811"/>
    </row>
    <row r="37" spans="1:22" ht="34.15" customHeight="1" thickBot="1" x14ac:dyDescent="0.3">
      <c r="A37" s="794"/>
      <c r="B37" s="35"/>
      <c r="C37" s="788" t="s">
        <v>56</v>
      </c>
      <c r="D37" s="788"/>
      <c r="E37" s="788" t="s">
        <v>57</v>
      </c>
      <c r="F37" s="788"/>
      <c r="G37" s="788" t="s">
        <v>58</v>
      </c>
      <c r="H37" s="788"/>
      <c r="J37" s="812"/>
      <c r="K37" s="813"/>
      <c r="L37" s="814"/>
      <c r="U37" s="862"/>
      <c r="V37" s="862"/>
    </row>
    <row r="38" spans="1:22" ht="52.9" customHeight="1" thickBot="1" x14ac:dyDescent="0.3">
      <c r="A38" s="794"/>
      <c r="B38" s="323" t="s">
        <v>59</v>
      </c>
      <c r="C38" s="35" t="s">
        <v>60</v>
      </c>
      <c r="D38" s="35" t="s">
        <v>61</v>
      </c>
      <c r="E38" s="35" t="s">
        <v>62</v>
      </c>
      <c r="F38" s="35" t="s">
        <v>63</v>
      </c>
      <c r="G38" s="35" t="s">
        <v>64</v>
      </c>
      <c r="H38" s="35" t="s">
        <v>65</v>
      </c>
      <c r="J38" s="815" t="s">
        <v>66</v>
      </c>
      <c r="K38" s="817" t="s">
        <v>67</v>
      </c>
      <c r="L38" s="819" t="s">
        <v>68</v>
      </c>
      <c r="U38" s="862"/>
      <c r="V38" s="862"/>
    </row>
    <row r="39" spans="1:22" ht="15.75" x14ac:dyDescent="0.25">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75" x14ac:dyDescent="0.25">
      <c r="A40" s="794"/>
      <c r="B40" s="37" t="s">
        <v>70</v>
      </c>
      <c r="C40" s="466">
        <f>'G-2 Habitat groups'!$AK$5</f>
        <v>0</v>
      </c>
      <c r="D40" s="466">
        <f>'G-2 Habitat groups'!$AL$5</f>
        <v>0</v>
      </c>
      <c r="E40" s="466">
        <f>'G-2 Habitat groups'!$AM$5</f>
        <v>0</v>
      </c>
      <c r="F40" s="466">
        <f>'G-2 Habitat groups'!$AN$5</f>
        <v>0</v>
      </c>
      <c r="G40" s="466">
        <f t="shared" ref="G40:G50" si="0">E40-C40</f>
        <v>0</v>
      </c>
      <c r="H40" s="466">
        <f t="shared" ref="H40:H50" si="1">F40-D40</f>
        <v>0</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75" x14ac:dyDescent="0.25">
      <c r="A41" s="794"/>
      <c r="B41" s="37" t="s">
        <v>71</v>
      </c>
      <c r="C41" s="466">
        <f>'G-2 Habitat groups'!$AK$6</f>
        <v>0</v>
      </c>
      <c r="D41" s="466">
        <f>'G-2 Habitat groups'!$AL$6</f>
        <v>0</v>
      </c>
      <c r="E41" s="466">
        <f>'G-2 Habitat groups'!$AM$6</f>
        <v>0</v>
      </c>
      <c r="F41" s="466">
        <f>'G-2 Habitat groups'!$AN$6</f>
        <v>0</v>
      </c>
      <c r="G41" s="466">
        <f t="shared" si="0"/>
        <v>0</v>
      </c>
      <c r="H41" s="466">
        <f t="shared" si="1"/>
        <v>0</v>
      </c>
      <c r="J41" s="802"/>
      <c r="K41" s="804"/>
      <c r="L41" s="808"/>
    </row>
    <row r="42" spans="1:22" ht="15.75" x14ac:dyDescent="0.25">
      <c r="A42" s="794"/>
      <c r="B42" s="37" t="s">
        <v>72</v>
      </c>
      <c r="C42" s="466">
        <f>'G-2 Habitat groups'!$AK$7</f>
        <v>0</v>
      </c>
      <c r="D42" s="466">
        <f>'G-2 Habitat groups'!$AL$7</f>
        <v>0</v>
      </c>
      <c r="E42" s="466">
        <f>'G-2 Habitat groups'!$AM$7</f>
        <v>0</v>
      </c>
      <c r="F42" s="466">
        <f>'G-2 Habitat groups'!$AN$7</f>
        <v>0</v>
      </c>
      <c r="G42" s="466">
        <f t="shared" si="0"/>
        <v>0</v>
      </c>
      <c r="H42" s="466">
        <f t="shared" si="1"/>
        <v>0</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75" x14ac:dyDescent="0.25">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75" x14ac:dyDescent="0.25">
      <c r="A44" s="794"/>
      <c r="B44" s="37" t="s">
        <v>74</v>
      </c>
      <c r="C44" s="466">
        <f>'G-2 Habitat groups'!$AK$9</f>
        <v>0.44769999999999999</v>
      </c>
      <c r="D44" s="466">
        <f>'G-2 Habitat groups'!$AL$9</f>
        <v>1.2216</v>
      </c>
      <c r="E44" s="466">
        <f>'G-2 Habitat groups'!$AM$9</f>
        <v>0.51680000000000004</v>
      </c>
      <c r="F44" s="466">
        <f>'G-2 Habitat groups'!$AN$9</f>
        <v>1.2904766974953601</v>
      </c>
      <c r="G44" s="466">
        <f t="shared" si="0"/>
        <v>6.910000000000005E-2</v>
      </c>
      <c r="H44" s="466">
        <f t="shared" si="1"/>
        <v>6.8876697495360073E-2</v>
      </c>
      <c r="J44" s="801" t="str">
        <f>'G-1 All Habitats'!$V5</f>
        <v>Medium</v>
      </c>
      <c r="K44" s="803">
        <f>SUMIF('A-1 Site Habitat Baseline'!$I$11:$I$258,'Detailed Results'!J44,'A-1 Site Habitat Baseline'!$W$11:$W$258)+SUMIF('D-1 Off Site Habitat Baseline'!$I$11:$I$258,'Detailed Results'!J44,'D-1 Off Site Habitat Baseline'!$W$11:$W$258)</f>
        <v>4.8899999999999992E-2</v>
      </c>
      <c r="L44" s="807">
        <f>IF(K44=0,"",(K44/(SUM($K$40:$K$49)))*100)</f>
        <v>12.258711456505388</v>
      </c>
    </row>
    <row r="45" spans="1:22" ht="15.75" x14ac:dyDescent="0.25">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75" x14ac:dyDescent="0.25">
      <c r="A46" s="794"/>
      <c r="B46" s="38" t="s">
        <v>76</v>
      </c>
      <c r="C46" s="466">
        <f>'G-2 Habitat groups'!$AK$11</f>
        <v>0</v>
      </c>
      <c r="D46" s="466">
        <f>'G-2 Habitat groups'!$AL$11</f>
        <v>0</v>
      </c>
      <c r="E46" s="466">
        <f>'G-2 Habitat groups'!$AM$11</f>
        <v>0</v>
      </c>
      <c r="F46" s="466">
        <f>'G-2 Habitat groups'!$AN$11</f>
        <v>0</v>
      </c>
      <c r="G46" s="466">
        <f t="shared" si="0"/>
        <v>0</v>
      </c>
      <c r="H46" s="466">
        <f t="shared" si="1"/>
        <v>0</v>
      </c>
      <c r="J46" s="801" t="str">
        <f>'G-1 All Habitats'!$V$6</f>
        <v>Low</v>
      </c>
      <c r="K46" s="803">
        <f>SUMIF('A-1 Site Habitat Baseline'!$I$11:$I$258,'Detailed Results'!J46,'A-1 Site Habitat Baseline'!$W$11:$W$258)+SUMIF('D-1 Off Site Habitat Baseline'!$I$11:$I$258,'Detailed Results'!J46,'D-1 Off Site Habitat Baseline'!$W$11:$W$258)</f>
        <v>0.22</v>
      </c>
      <c r="L46" s="807">
        <f>IF(K46=0,"",(K46/(SUM($K$40:$K$49)))*100)</f>
        <v>55.151667084482327</v>
      </c>
    </row>
    <row r="47" spans="1:22" ht="15.75" x14ac:dyDescent="0.25">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75" x14ac:dyDescent="0.25">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0.13</v>
      </c>
      <c r="L48" s="807">
        <f>IF(K48=0,"",(K48/(SUM($K$40:$K$49)))*100)</f>
        <v>32.589621459012285</v>
      </c>
    </row>
    <row r="49" spans="1:33" ht="16.5" thickBot="1" x14ac:dyDescent="0.3">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75" x14ac:dyDescent="0.25">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75" x14ac:dyDescent="0.25">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5">
      <c r="A52" s="794"/>
    </row>
    <row r="53" spans="1:33" ht="15.75" customHeight="1" x14ac:dyDescent="0.25">
      <c r="A53" s="794"/>
    </row>
    <row r="54" spans="1:33" ht="10.15" customHeight="1" thickBot="1" x14ac:dyDescent="0.3">
      <c r="A54" s="794"/>
    </row>
    <row r="55" spans="1:33" ht="22.9" customHeight="1" thickBot="1" x14ac:dyDescent="0.4">
      <c r="A55" s="794"/>
      <c r="B55" s="805" t="s">
        <v>82</v>
      </c>
      <c r="C55" s="805"/>
      <c r="D55" s="805"/>
      <c r="E55" s="805"/>
      <c r="F55" s="805"/>
      <c r="G55" s="805"/>
      <c r="H55" s="805"/>
      <c r="I55" s="41"/>
      <c r="J55" s="41"/>
      <c r="K55" s="41"/>
      <c r="L55" s="41"/>
      <c r="M55" s="41"/>
    </row>
    <row r="56" spans="1:33" s="42" customFormat="1" ht="38.25" customHeight="1" thickBot="1" x14ac:dyDescent="0.3">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
      <c r="A57" s="794"/>
      <c r="B57" s="323" t="s">
        <v>59</v>
      </c>
      <c r="C57" s="35" t="s">
        <v>60</v>
      </c>
      <c r="D57" s="35" t="s">
        <v>85</v>
      </c>
      <c r="E57" s="35" t="s">
        <v>86</v>
      </c>
      <c r="F57" s="35" t="s">
        <v>87</v>
      </c>
      <c r="G57" s="35" t="s">
        <v>88</v>
      </c>
      <c r="H57" s="35" t="s">
        <v>89</v>
      </c>
      <c r="I57" s="40"/>
      <c r="J57" s="40"/>
    </row>
    <row r="58" spans="1:33" ht="15.75" x14ac:dyDescent="0.25">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x14ac:dyDescent="0.25">
      <c r="A59" s="794"/>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5">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x14ac:dyDescent="0.25">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x14ac:dyDescent="0.25">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x14ac:dyDescent="0.25">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x14ac:dyDescent="0.25">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x14ac:dyDescent="0.25">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5">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5">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5">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5">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5">
      <c r="A71" s="794"/>
      <c r="B71" s="40"/>
      <c r="C71" s="40"/>
      <c r="D71" s="40"/>
      <c r="E71" s="40"/>
      <c r="F71" s="40"/>
      <c r="G71" s="40"/>
      <c r="H71" s="40"/>
      <c r="I71" s="40"/>
      <c r="J71" s="40"/>
    </row>
    <row r="72" spans="1:10" ht="15.75" customHeight="1" x14ac:dyDescent="0.25">
      <c r="A72" s="794"/>
      <c r="B72" s="40"/>
      <c r="C72" s="40"/>
      <c r="D72" s="40"/>
      <c r="E72" s="40"/>
      <c r="F72" s="40"/>
      <c r="G72" s="40"/>
      <c r="H72" s="40"/>
      <c r="I72" s="40"/>
      <c r="J72" s="40"/>
    </row>
    <row r="73" spans="1:10" ht="10.9" customHeight="1" thickBot="1" x14ac:dyDescent="0.3">
      <c r="A73" s="794"/>
      <c r="B73" s="40"/>
      <c r="C73" s="40"/>
      <c r="D73" s="40"/>
      <c r="E73" s="40"/>
      <c r="F73" s="40"/>
      <c r="G73" s="40"/>
      <c r="H73" s="40"/>
      <c r="I73" s="40"/>
      <c r="J73" s="40"/>
    </row>
    <row r="74" spans="1:10" ht="19.5" thickBot="1" x14ac:dyDescent="0.35">
      <c r="A74" s="794"/>
      <c r="B74" s="805" t="s">
        <v>90</v>
      </c>
      <c r="C74" s="805"/>
      <c r="D74" s="805"/>
      <c r="E74" s="805"/>
      <c r="F74" s="805"/>
      <c r="G74" s="805"/>
      <c r="H74" s="805"/>
      <c r="I74" s="40"/>
      <c r="J74" s="40"/>
    </row>
    <row r="75" spans="1:10" ht="33.6" customHeight="1" thickBot="1" x14ac:dyDescent="0.3">
      <c r="A75" s="794"/>
      <c r="B75" s="35"/>
      <c r="C75" s="788" t="s">
        <v>56</v>
      </c>
      <c r="D75" s="788"/>
      <c r="E75" s="788" t="s">
        <v>91</v>
      </c>
      <c r="F75" s="788"/>
      <c r="G75" s="788" t="s">
        <v>92</v>
      </c>
      <c r="H75" s="788"/>
      <c r="I75" s="40"/>
      <c r="J75" s="40"/>
    </row>
    <row r="76" spans="1:10" ht="45.6" customHeight="1" x14ac:dyDescent="0.25">
      <c r="A76" s="794"/>
      <c r="B76" s="36" t="s">
        <v>59</v>
      </c>
      <c r="C76" s="324" t="s">
        <v>60</v>
      </c>
      <c r="D76" s="324" t="s">
        <v>61</v>
      </c>
      <c r="E76" s="324" t="s">
        <v>93</v>
      </c>
      <c r="F76" s="324" t="s">
        <v>94</v>
      </c>
      <c r="G76" s="324" t="s">
        <v>62</v>
      </c>
      <c r="H76" s="324" t="s">
        <v>63</v>
      </c>
      <c r="I76" s="40"/>
      <c r="J76" s="40"/>
    </row>
    <row r="77" spans="1:10" ht="15.75" customHeight="1" x14ac:dyDescent="0.25">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25">
      <c r="A78" s="794"/>
      <c r="B78" s="37" t="s">
        <v>70</v>
      </c>
      <c r="C78" s="466">
        <f t="shared" si="8"/>
        <v>0</v>
      </c>
      <c r="D78" s="466">
        <f t="shared" si="8"/>
        <v>0</v>
      </c>
      <c r="E78" s="466">
        <f t="shared" si="8"/>
        <v>0</v>
      </c>
      <c r="F78" s="466">
        <f t="shared" si="8"/>
        <v>0</v>
      </c>
      <c r="G78" s="466">
        <f t="shared" si="8"/>
        <v>0</v>
      </c>
      <c r="H78" s="467">
        <f t="shared" si="8"/>
        <v>0</v>
      </c>
      <c r="I78" s="40"/>
      <c r="J78" s="40"/>
    </row>
    <row r="79" spans="1:10" ht="15.75" customHeight="1" x14ac:dyDescent="0.25">
      <c r="A79" s="794"/>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25">
      <c r="A80" s="794"/>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25">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25">
      <c r="A82" s="794"/>
      <c r="B82" s="37" t="s">
        <v>74</v>
      </c>
      <c r="C82" s="466">
        <f t="shared" si="8"/>
        <v>0.44769999999999999</v>
      </c>
      <c r="D82" s="466">
        <f t="shared" si="8"/>
        <v>1.2216</v>
      </c>
      <c r="E82" s="466">
        <f t="shared" si="8"/>
        <v>0.51680000000000004</v>
      </c>
      <c r="F82" s="466">
        <f t="shared" si="8"/>
        <v>1.2904766974953601</v>
      </c>
      <c r="G82" s="466">
        <f t="shared" si="8"/>
        <v>6.910000000000005E-2</v>
      </c>
      <c r="H82" s="467">
        <f t="shared" si="8"/>
        <v>6.8876697495360073E-2</v>
      </c>
      <c r="I82" s="40"/>
      <c r="J82" s="40"/>
    </row>
    <row r="83" spans="1:12" ht="15.75" customHeight="1" x14ac:dyDescent="0.25">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25">
      <c r="A84" s="794"/>
      <c r="B84" s="38" t="s">
        <v>76</v>
      </c>
      <c r="C84" s="466">
        <f t="shared" si="8"/>
        <v>0</v>
      </c>
      <c r="D84" s="466">
        <f t="shared" si="8"/>
        <v>0</v>
      </c>
      <c r="E84" s="466">
        <f t="shared" si="8"/>
        <v>0</v>
      </c>
      <c r="F84" s="466">
        <f t="shared" si="8"/>
        <v>0</v>
      </c>
      <c r="G84" s="466">
        <f t="shared" si="8"/>
        <v>0</v>
      </c>
      <c r="H84" s="467">
        <f t="shared" si="8"/>
        <v>0</v>
      </c>
      <c r="I84" s="40"/>
      <c r="J84" s="40"/>
    </row>
    <row r="85" spans="1:12" ht="15.75" x14ac:dyDescent="0.25">
      <c r="A85" s="794"/>
      <c r="B85" s="44" t="s">
        <v>77</v>
      </c>
      <c r="C85" s="466">
        <f t="shared" si="8"/>
        <v>0</v>
      </c>
      <c r="D85" s="466">
        <f t="shared" si="8"/>
        <v>0</v>
      </c>
      <c r="E85" s="466">
        <f t="shared" si="8"/>
        <v>0</v>
      </c>
      <c r="F85" s="466">
        <f t="shared" si="8"/>
        <v>0</v>
      </c>
      <c r="G85" s="466">
        <f t="shared" si="8"/>
        <v>0</v>
      </c>
      <c r="H85" s="467">
        <f t="shared" si="8"/>
        <v>0</v>
      </c>
      <c r="I85" s="40"/>
      <c r="J85" s="40"/>
    </row>
    <row r="86" spans="1:12" ht="15.75" x14ac:dyDescent="0.25">
      <c r="A86" s="794"/>
      <c r="B86" s="44" t="s">
        <v>78</v>
      </c>
      <c r="C86" s="466">
        <f t="shared" si="8"/>
        <v>0</v>
      </c>
      <c r="D86" s="466">
        <f t="shared" si="8"/>
        <v>0</v>
      </c>
      <c r="E86" s="466">
        <f t="shared" si="8"/>
        <v>0</v>
      </c>
      <c r="F86" s="466">
        <f t="shared" si="8"/>
        <v>0</v>
      </c>
      <c r="G86" s="466">
        <f t="shared" si="8"/>
        <v>0</v>
      </c>
      <c r="H86" s="467">
        <f t="shared" si="8"/>
        <v>0</v>
      </c>
      <c r="I86" s="40"/>
      <c r="J86" s="40"/>
    </row>
    <row r="87" spans="1:12" ht="15.75" x14ac:dyDescent="0.25">
      <c r="A87" s="794"/>
      <c r="B87" s="44" t="s">
        <v>79</v>
      </c>
      <c r="C87" s="466">
        <f t="shared" si="8"/>
        <v>0</v>
      </c>
      <c r="D87" s="466">
        <f t="shared" si="8"/>
        <v>0</v>
      </c>
      <c r="E87" s="466">
        <f t="shared" si="8"/>
        <v>0</v>
      </c>
      <c r="F87" s="466">
        <f t="shared" si="8"/>
        <v>0</v>
      </c>
      <c r="G87" s="466">
        <f t="shared" si="8"/>
        <v>0</v>
      </c>
      <c r="H87" s="467">
        <f t="shared" si="8"/>
        <v>0</v>
      </c>
      <c r="I87" s="40"/>
      <c r="J87" s="40"/>
    </row>
    <row r="88" spans="1:12" ht="15.75" x14ac:dyDescent="0.25">
      <c r="A88" s="794"/>
      <c r="B88" s="44" t="s">
        <v>80</v>
      </c>
      <c r="C88" s="466">
        <f t="shared" si="8"/>
        <v>0</v>
      </c>
      <c r="D88" s="466">
        <f t="shared" si="8"/>
        <v>0</v>
      </c>
      <c r="E88" s="466">
        <f t="shared" si="8"/>
        <v>0</v>
      </c>
      <c r="F88" s="466">
        <f t="shared" si="8"/>
        <v>0</v>
      </c>
      <c r="G88" s="466">
        <f t="shared" si="8"/>
        <v>0</v>
      </c>
      <c r="H88" s="467">
        <f t="shared" si="8"/>
        <v>0</v>
      </c>
      <c r="I88" s="40"/>
      <c r="J88" s="40"/>
    </row>
    <row r="89" spans="1:12" ht="16.5" thickBot="1" x14ac:dyDescent="0.3">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25">
      <c r="A90" s="794"/>
      <c r="B90" s="40"/>
      <c r="C90" s="40"/>
      <c r="D90" s="40"/>
      <c r="E90" s="40"/>
      <c r="F90" s="40"/>
      <c r="G90" s="40"/>
      <c r="H90" s="40"/>
      <c r="I90" s="40"/>
      <c r="J90" s="40"/>
    </row>
    <row r="91" spans="1:12" s="332" customFormat="1" ht="66" customHeight="1" thickBot="1" x14ac:dyDescent="0.3">
      <c r="A91" s="795"/>
    </row>
    <row r="92" spans="1:12" ht="37.9" customHeight="1" thickTop="1" thickBot="1" x14ac:dyDescent="0.3">
      <c r="A92" s="796" t="s">
        <v>95</v>
      </c>
    </row>
    <row r="93" spans="1:12" ht="26.25" thickBot="1" x14ac:dyDescent="0.4">
      <c r="A93" s="797"/>
      <c r="B93" s="825" t="s">
        <v>96</v>
      </c>
      <c r="C93" s="826"/>
      <c r="D93" s="827"/>
    </row>
    <row r="94" spans="1:12" x14ac:dyDescent="0.25">
      <c r="A94" s="797"/>
    </row>
    <row r="95" spans="1:12" ht="15" customHeight="1" thickBot="1" x14ac:dyDescent="0.3">
      <c r="A95" s="797"/>
    </row>
    <row r="96" spans="1:12" ht="18" customHeight="1" thickBot="1" x14ac:dyDescent="0.35">
      <c r="A96" s="797"/>
      <c r="B96" s="805" t="s">
        <v>97</v>
      </c>
      <c r="C96" s="805"/>
      <c r="D96" s="805"/>
      <c r="E96" s="805"/>
      <c r="F96" s="805"/>
      <c r="G96" s="805"/>
      <c r="H96" s="805"/>
      <c r="J96" s="809" t="s">
        <v>98</v>
      </c>
      <c r="K96" s="810"/>
      <c r="L96" s="811"/>
    </row>
    <row r="97" spans="1:12" ht="16.149999999999999" customHeight="1" thickBot="1" x14ac:dyDescent="0.3">
      <c r="A97" s="797"/>
      <c r="B97" s="35"/>
      <c r="C97" s="788" t="s">
        <v>56</v>
      </c>
      <c r="D97" s="788"/>
      <c r="E97" s="788" t="s">
        <v>57</v>
      </c>
      <c r="F97" s="788"/>
      <c r="G97" s="788" t="s">
        <v>58</v>
      </c>
      <c r="H97" s="788"/>
      <c r="J97" s="812"/>
      <c r="K97" s="813"/>
      <c r="L97" s="814"/>
    </row>
    <row r="98" spans="1:12" ht="48" thickBot="1" x14ac:dyDescent="0.3">
      <c r="A98" s="797"/>
      <c r="B98" s="323" t="s">
        <v>99</v>
      </c>
      <c r="C98" s="35" t="s">
        <v>100</v>
      </c>
      <c r="D98" s="35" t="s">
        <v>61</v>
      </c>
      <c r="E98" s="35" t="s">
        <v>101</v>
      </c>
      <c r="F98" s="35" t="s">
        <v>102</v>
      </c>
      <c r="G98" s="35" t="s">
        <v>103</v>
      </c>
      <c r="H98" s="35" t="s">
        <v>104</v>
      </c>
      <c r="J98" s="815" t="s">
        <v>66</v>
      </c>
      <c r="K98" s="817" t="s">
        <v>105</v>
      </c>
      <c r="L98" s="819" t="s">
        <v>106</v>
      </c>
    </row>
    <row r="99" spans="1:12" ht="15.75" x14ac:dyDescent="0.25">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75" x14ac:dyDescent="0.25">
      <c r="A100" s="797"/>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75" x14ac:dyDescent="0.25">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75" x14ac:dyDescent="0.25">
      <c r="A102" s="797"/>
      <c r="B102" s="329" t="s">
        <v>110</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75" x14ac:dyDescent="0.25">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75" x14ac:dyDescent="0.25">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75" x14ac:dyDescent="0.25">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75" x14ac:dyDescent="0.25">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v>
      </c>
      <c r="L106" s="807" t="str">
        <f t="shared" ref="L106" si="13">IF(K106=0,"",(K106/(SUM($K$100:$K$109)))*100)</f>
        <v/>
      </c>
    </row>
    <row r="107" spans="1:12" ht="15.75" x14ac:dyDescent="0.25">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75" x14ac:dyDescent="0.25">
      <c r="A108" s="797"/>
      <c r="B108" s="331" t="s">
        <v>116</v>
      </c>
      <c r="C108" s="464">
        <f>'G-2 Habitat groups'!E155</f>
        <v>0</v>
      </c>
      <c r="D108" s="464">
        <f>'G-2 Habitat groups'!F155</f>
        <v>0</v>
      </c>
      <c r="E108" s="464">
        <f>'G-2 Habitat groups'!O155</f>
        <v>0</v>
      </c>
      <c r="F108" s="464">
        <f>'G-2 Habitat groups'!P155</f>
        <v>0</v>
      </c>
      <c r="G108" s="464">
        <f t="shared" si="10"/>
        <v>0</v>
      </c>
      <c r="H108" s="464">
        <f t="shared" si="9"/>
        <v>0</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5" thickBot="1" x14ac:dyDescent="0.3">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75" x14ac:dyDescent="0.25">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75" x14ac:dyDescent="0.25">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5">
      <c r="A112" s="797"/>
    </row>
    <row r="113" spans="1:8" x14ac:dyDescent="0.25">
      <c r="A113" s="797"/>
    </row>
    <row r="114" spans="1:8" x14ac:dyDescent="0.25">
      <c r="A114" s="797"/>
    </row>
    <row r="115" spans="1:8" ht="15.75" thickBot="1" x14ac:dyDescent="0.3">
      <c r="A115" s="797"/>
    </row>
    <row r="116" spans="1:8" ht="19.5" thickBot="1" x14ac:dyDescent="0.35">
      <c r="A116" s="797"/>
      <c r="B116" s="805" t="s">
        <v>120</v>
      </c>
      <c r="C116" s="805"/>
      <c r="D116" s="805"/>
      <c r="E116" s="805"/>
      <c r="F116" s="805"/>
      <c r="G116" s="805"/>
      <c r="H116" s="805"/>
    </row>
    <row r="117" spans="1:8" ht="16.5" thickBot="1" x14ac:dyDescent="0.3">
      <c r="A117" s="797"/>
      <c r="B117" s="35"/>
      <c r="C117" s="788" t="s">
        <v>121</v>
      </c>
      <c r="D117" s="788"/>
      <c r="E117" s="788" t="s">
        <v>122</v>
      </c>
      <c r="F117" s="788"/>
      <c r="G117" s="788" t="s">
        <v>123</v>
      </c>
      <c r="H117" s="788"/>
    </row>
    <row r="118" spans="1:8" ht="48" thickBot="1" x14ac:dyDescent="0.3">
      <c r="A118" s="797"/>
      <c r="B118" s="323" t="s">
        <v>99</v>
      </c>
      <c r="C118" s="35" t="s">
        <v>124</v>
      </c>
      <c r="D118" s="35" t="s">
        <v>125</v>
      </c>
      <c r="E118" s="35" t="s">
        <v>126</v>
      </c>
      <c r="F118" s="35" t="s">
        <v>127</v>
      </c>
      <c r="G118" s="35" t="s">
        <v>128</v>
      </c>
      <c r="H118" s="35" t="s">
        <v>129</v>
      </c>
    </row>
    <row r="119" spans="1:8" ht="15.75" x14ac:dyDescent="0.25">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x14ac:dyDescent="0.25">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75" x14ac:dyDescent="0.25">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75" x14ac:dyDescent="0.25">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75" x14ac:dyDescent="0.25">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75" x14ac:dyDescent="0.25">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75" x14ac:dyDescent="0.25">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75" x14ac:dyDescent="0.25">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75" x14ac:dyDescent="0.25">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75" x14ac:dyDescent="0.25">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75" x14ac:dyDescent="0.25">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75" x14ac:dyDescent="0.25">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75" x14ac:dyDescent="0.25">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5">
      <c r="A132" s="797"/>
      <c r="B132" s="40"/>
      <c r="C132" s="40"/>
    </row>
    <row r="133" spans="1:8" x14ac:dyDescent="0.25">
      <c r="A133" s="797"/>
      <c r="B133" s="40"/>
      <c r="C133" s="40"/>
    </row>
    <row r="134" spans="1:8" x14ac:dyDescent="0.25">
      <c r="A134" s="797"/>
      <c r="B134" s="40"/>
      <c r="C134" s="40"/>
    </row>
    <row r="135" spans="1:8" ht="15.75" thickBot="1" x14ac:dyDescent="0.3">
      <c r="A135" s="797"/>
      <c r="B135" s="40"/>
      <c r="C135" s="40"/>
    </row>
    <row r="136" spans="1:8" ht="19.5" thickBot="1" x14ac:dyDescent="0.35">
      <c r="A136" s="797"/>
      <c r="B136" s="805" t="s">
        <v>131</v>
      </c>
      <c r="C136" s="805"/>
      <c r="D136" s="805"/>
      <c r="E136" s="805"/>
      <c r="F136" s="805"/>
      <c r="G136" s="805"/>
      <c r="H136" s="805"/>
    </row>
    <row r="137" spans="1:8" ht="16.5" thickBot="1" x14ac:dyDescent="0.3">
      <c r="A137" s="797"/>
      <c r="B137" s="35"/>
      <c r="C137" s="788" t="s">
        <v>56</v>
      </c>
      <c r="D137" s="788"/>
      <c r="E137" s="788" t="s">
        <v>57</v>
      </c>
      <c r="F137" s="788"/>
      <c r="G137" s="788" t="s">
        <v>58</v>
      </c>
      <c r="H137" s="788"/>
    </row>
    <row r="138" spans="1:8" ht="32.25" thickBot="1" x14ac:dyDescent="0.3">
      <c r="A138" s="797"/>
      <c r="B138" s="323" t="s">
        <v>99</v>
      </c>
      <c r="C138" s="35" t="s">
        <v>132</v>
      </c>
      <c r="D138" s="35" t="s">
        <v>61</v>
      </c>
      <c r="E138" s="35" t="s">
        <v>133</v>
      </c>
      <c r="F138" s="35" t="s">
        <v>63</v>
      </c>
      <c r="G138" s="35" t="s">
        <v>134</v>
      </c>
      <c r="H138" s="35" t="s">
        <v>65</v>
      </c>
    </row>
    <row r="139" spans="1:8" ht="15.75" x14ac:dyDescent="0.25">
      <c r="A139" s="797"/>
      <c r="B139" s="335" t="s">
        <v>107</v>
      </c>
      <c r="C139" s="466">
        <f>C99+C119</f>
        <v>0</v>
      </c>
      <c r="D139" s="466">
        <f t="shared" ref="D139:H139" si="17">D99+D119</f>
        <v>0</v>
      </c>
      <c r="E139" s="466">
        <f t="shared" si="17"/>
        <v>0</v>
      </c>
      <c r="F139" s="466">
        <f t="shared" si="17"/>
        <v>0</v>
      </c>
      <c r="G139" s="466">
        <f>G99+G119</f>
        <v>0</v>
      </c>
      <c r="H139" s="466">
        <f t="shared" si="17"/>
        <v>0</v>
      </c>
    </row>
    <row r="140" spans="1:8" ht="15.75" x14ac:dyDescent="0.25">
      <c r="A140" s="797"/>
      <c r="B140" s="336" t="s">
        <v>108</v>
      </c>
      <c r="C140" s="466">
        <f t="shared" ref="C140:H140" si="18">C100+C120</f>
        <v>0</v>
      </c>
      <c r="D140" s="466">
        <f t="shared" si="18"/>
        <v>0</v>
      </c>
      <c r="E140" s="466">
        <f t="shared" si="18"/>
        <v>0</v>
      </c>
      <c r="F140" s="466">
        <f t="shared" si="18"/>
        <v>0</v>
      </c>
      <c r="G140" s="466">
        <f t="shared" si="18"/>
        <v>0</v>
      </c>
      <c r="H140" s="466">
        <f t="shared" si="18"/>
        <v>0</v>
      </c>
    </row>
    <row r="141" spans="1:8" ht="15.75" x14ac:dyDescent="0.25">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75" x14ac:dyDescent="0.25">
      <c r="A142" s="797"/>
      <c r="B142" s="336" t="s">
        <v>110</v>
      </c>
      <c r="C142" s="466">
        <f t="shared" ref="C142:H142" si="20">C102+C122</f>
        <v>0</v>
      </c>
      <c r="D142" s="466">
        <f t="shared" si="20"/>
        <v>0</v>
      </c>
      <c r="E142" s="466">
        <f t="shared" si="20"/>
        <v>0</v>
      </c>
      <c r="F142" s="466">
        <f t="shared" si="20"/>
        <v>0</v>
      </c>
      <c r="G142" s="466">
        <f t="shared" si="20"/>
        <v>0</v>
      </c>
      <c r="H142" s="466">
        <f t="shared" si="20"/>
        <v>0</v>
      </c>
    </row>
    <row r="143" spans="1:8" ht="15.75" x14ac:dyDescent="0.25">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75" x14ac:dyDescent="0.25">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75" x14ac:dyDescent="0.25">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75" x14ac:dyDescent="0.25">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75" x14ac:dyDescent="0.25">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75" x14ac:dyDescent="0.25">
      <c r="A148" s="797"/>
      <c r="B148" s="331" t="s">
        <v>116</v>
      </c>
      <c r="C148" s="466">
        <f t="shared" ref="C148:H148" si="26">C108+C128</f>
        <v>0</v>
      </c>
      <c r="D148" s="466">
        <f t="shared" si="26"/>
        <v>0</v>
      </c>
      <c r="E148" s="466">
        <f t="shared" si="26"/>
        <v>0</v>
      </c>
      <c r="F148" s="466">
        <f t="shared" si="26"/>
        <v>0</v>
      </c>
      <c r="G148" s="466">
        <f t="shared" si="26"/>
        <v>0</v>
      </c>
      <c r="H148" s="466">
        <f t="shared" si="26"/>
        <v>0</v>
      </c>
    </row>
    <row r="149" spans="1:12" ht="15.75" x14ac:dyDescent="0.25">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75" x14ac:dyDescent="0.25">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75" x14ac:dyDescent="0.25">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25">
      <c r="A152" s="797"/>
    </row>
    <row r="153" spans="1:12" ht="15.75" thickBot="1" x14ac:dyDescent="0.3">
      <c r="A153" s="798"/>
    </row>
    <row r="154" spans="1:12" s="333" customFormat="1" ht="31.9" customHeight="1" thickTop="1" x14ac:dyDescent="0.25">
      <c r="A154" s="799" t="s">
        <v>135</v>
      </c>
    </row>
    <row r="155" spans="1:12" ht="15.75" thickBot="1" x14ac:dyDescent="0.3">
      <c r="A155" s="800"/>
    </row>
    <row r="156" spans="1:12" ht="26.25" thickBot="1" x14ac:dyDescent="0.4">
      <c r="A156" s="800"/>
      <c r="B156" s="825" t="s">
        <v>136</v>
      </c>
      <c r="C156" s="826"/>
      <c r="D156" s="827"/>
    </row>
    <row r="157" spans="1:12" x14ac:dyDescent="0.25">
      <c r="A157" s="800"/>
    </row>
    <row r="158" spans="1:12" ht="15.75" thickBot="1" x14ac:dyDescent="0.3">
      <c r="A158" s="800"/>
    </row>
    <row r="159" spans="1:12" ht="19.5" thickBot="1" x14ac:dyDescent="0.35">
      <c r="A159" s="800"/>
      <c r="B159" s="805" t="s">
        <v>137</v>
      </c>
      <c r="C159" s="805"/>
      <c r="D159" s="805"/>
      <c r="E159" s="805"/>
      <c r="F159" s="805"/>
      <c r="G159" s="805"/>
      <c r="H159" s="805"/>
      <c r="J159" s="809" t="s">
        <v>98</v>
      </c>
      <c r="K159" s="810"/>
      <c r="L159" s="811"/>
    </row>
    <row r="160" spans="1:12" ht="16.5" thickBot="1" x14ac:dyDescent="0.3">
      <c r="A160" s="800"/>
      <c r="B160" s="35"/>
      <c r="C160" s="788" t="s">
        <v>56</v>
      </c>
      <c r="D160" s="788"/>
      <c r="E160" s="788" t="s">
        <v>57</v>
      </c>
      <c r="F160" s="788"/>
      <c r="G160" s="788" t="s">
        <v>58</v>
      </c>
      <c r="H160" s="788"/>
      <c r="J160" s="812"/>
      <c r="K160" s="813"/>
      <c r="L160" s="814"/>
    </row>
    <row r="161" spans="1:12" ht="32.25" thickBot="1" x14ac:dyDescent="0.3">
      <c r="A161" s="800"/>
      <c r="B161" s="323" t="s">
        <v>138</v>
      </c>
      <c r="C161" s="35" t="s">
        <v>132</v>
      </c>
      <c r="D161" s="35" t="s">
        <v>61</v>
      </c>
      <c r="E161" s="35" t="s">
        <v>133</v>
      </c>
      <c r="F161" s="35" t="s">
        <v>63</v>
      </c>
      <c r="G161" s="35" t="s">
        <v>134</v>
      </c>
      <c r="H161" s="35" t="s">
        <v>65</v>
      </c>
      <c r="J161" s="815" t="s">
        <v>66</v>
      </c>
      <c r="K161" s="817" t="s">
        <v>105</v>
      </c>
      <c r="L161" s="819" t="s">
        <v>106</v>
      </c>
    </row>
    <row r="162" spans="1:12" ht="15.75" x14ac:dyDescent="0.25">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75" x14ac:dyDescent="0.25">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75" x14ac:dyDescent="0.25">
      <c r="A164" s="800"/>
      <c r="B164" s="329" t="s">
        <v>141</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75" x14ac:dyDescent="0.25">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75" x14ac:dyDescent="0.25">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25">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x14ac:dyDescent="0.25">
      <c r="A168" s="800"/>
      <c r="J168" s="802"/>
      <c r="K168" s="804"/>
      <c r="L168" s="808"/>
    </row>
    <row r="169" spans="1:12" x14ac:dyDescent="0.25">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25">
      <c r="A170" s="800"/>
      <c r="J170" s="802"/>
      <c r="K170" s="804"/>
      <c r="L170" s="808"/>
    </row>
    <row r="171" spans="1:12" x14ac:dyDescent="0.25">
      <c r="A171" s="800"/>
    </row>
    <row r="172" spans="1:12" x14ac:dyDescent="0.25">
      <c r="A172" s="800"/>
    </row>
    <row r="173" spans="1:12" x14ac:dyDescent="0.25">
      <c r="A173" s="800"/>
    </row>
    <row r="174" spans="1:12" x14ac:dyDescent="0.25">
      <c r="A174" s="800"/>
    </row>
    <row r="175" spans="1:12" x14ac:dyDescent="0.25">
      <c r="A175" s="800"/>
    </row>
    <row r="176" spans="1:12" x14ac:dyDescent="0.25">
      <c r="A176" s="800"/>
    </row>
    <row r="177" spans="1:8" x14ac:dyDescent="0.25">
      <c r="A177" s="800"/>
    </row>
    <row r="178" spans="1:8" ht="15.75" thickBot="1" x14ac:dyDescent="0.3">
      <c r="A178" s="800"/>
    </row>
    <row r="179" spans="1:8" ht="19.5" thickBot="1" x14ac:dyDescent="0.35">
      <c r="A179" s="800"/>
      <c r="B179" s="805" t="s">
        <v>144</v>
      </c>
      <c r="C179" s="805"/>
      <c r="D179" s="805"/>
      <c r="E179" s="805"/>
      <c r="F179" s="805"/>
      <c r="G179" s="805"/>
      <c r="H179" s="805"/>
    </row>
    <row r="180" spans="1:8" ht="16.5" thickBot="1" x14ac:dyDescent="0.3">
      <c r="A180" s="800"/>
      <c r="B180" s="35"/>
      <c r="C180" s="788" t="s">
        <v>56</v>
      </c>
      <c r="D180" s="788"/>
      <c r="E180" s="788" t="s">
        <v>145</v>
      </c>
      <c r="F180" s="788"/>
      <c r="G180" s="788" t="s">
        <v>84</v>
      </c>
      <c r="H180" s="788"/>
    </row>
    <row r="181" spans="1:8" ht="48" thickBot="1" x14ac:dyDescent="0.3">
      <c r="A181" s="800"/>
      <c r="B181" s="323" t="s">
        <v>138</v>
      </c>
      <c r="C181" s="35" t="s">
        <v>124</v>
      </c>
      <c r="D181" s="35" t="s">
        <v>125</v>
      </c>
      <c r="E181" s="35" t="s">
        <v>126</v>
      </c>
      <c r="F181" s="35" t="s">
        <v>127</v>
      </c>
      <c r="G181" s="35" t="s">
        <v>128</v>
      </c>
      <c r="H181" s="35" t="s">
        <v>89</v>
      </c>
    </row>
    <row r="182" spans="1:8" ht="15.75" x14ac:dyDescent="0.25">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x14ac:dyDescent="0.25">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75" x14ac:dyDescent="0.25">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75" x14ac:dyDescent="0.25">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75" x14ac:dyDescent="0.25">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5">
      <c r="A187" s="800"/>
      <c r="B187" s="40"/>
      <c r="C187" s="40"/>
      <c r="D187" s="40"/>
      <c r="E187" s="40"/>
      <c r="F187" s="40"/>
      <c r="G187" s="40"/>
      <c r="H187" s="40"/>
    </row>
    <row r="188" spans="1:8" x14ac:dyDescent="0.25">
      <c r="A188" s="800"/>
      <c r="B188" s="40"/>
      <c r="C188" s="40"/>
      <c r="D188" s="40"/>
      <c r="E188" s="40"/>
      <c r="F188" s="40"/>
      <c r="G188" s="40"/>
      <c r="H188" s="40"/>
    </row>
    <row r="189" spans="1:8" x14ac:dyDescent="0.25">
      <c r="A189" s="800"/>
      <c r="B189" s="40"/>
      <c r="C189" s="40"/>
      <c r="D189" s="40"/>
      <c r="E189" s="40"/>
      <c r="F189" s="40"/>
      <c r="G189" s="40"/>
      <c r="H189" s="40"/>
    </row>
    <row r="190" spans="1:8" x14ac:dyDescent="0.25">
      <c r="A190" s="800"/>
      <c r="B190" s="40"/>
      <c r="C190" s="40"/>
      <c r="D190" s="40"/>
      <c r="E190" s="40"/>
      <c r="F190" s="40"/>
      <c r="G190" s="40"/>
      <c r="H190" s="40"/>
    </row>
    <row r="191" spans="1:8" x14ac:dyDescent="0.25">
      <c r="A191" s="800"/>
      <c r="B191" s="40"/>
      <c r="C191" s="40"/>
      <c r="D191" s="40"/>
      <c r="E191" s="40"/>
      <c r="F191" s="40"/>
      <c r="G191" s="40"/>
      <c r="H191" s="40"/>
    </row>
    <row r="192" spans="1:8" x14ac:dyDescent="0.25">
      <c r="A192" s="800"/>
      <c r="B192" s="40"/>
      <c r="C192" s="40"/>
      <c r="D192" s="40"/>
      <c r="E192" s="40"/>
      <c r="F192" s="40"/>
      <c r="G192" s="40"/>
      <c r="H192" s="40"/>
    </row>
    <row r="193" spans="1:8" x14ac:dyDescent="0.25">
      <c r="A193" s="800"/>
      <c r="B193" s="40"/>
      <c r="C193" s="40"/>
      <c r="D193" s="40"/>
      <c r="E193" s="40"/>
      <c r="F193" s="40"/>
      <c r="G193" s="40"/>
      <c r="H193" s="40"/>
    </row>
    <row r="194" spans="1:8" x14ac:dyDescent="0.25">
      <c r="A194" s="800"/>
      <c r="B194" s="40"/>
      <c r="C194" s="40"/>
      <c r="D194" s="40"/>
      <c r="E194" s="40"/>
      <c r="F194" s="40"/>
      <c r="G194" s="40"/>
      <c r="H194" s="40"/>
    </row>
    <row r="195" spans="1:8" x14ac:dyDescent="0.25">
      <c r="A195" s="800"/>
      <c r="B195" s="40"/>
      <c r="C195" s="40"/>
    </row>
    <row r="196" spans="1:8" x14ac:dyDescent="0.25">
      <c r="A196" s="800"/>
      <c r="B196" s="40"/>
      <c r="C196" s="40"/>
    </row>
    <row r="197" spans="1:8" x14ac:dyDescent="0.25">
      <c r="A197" s="800"/>
      <c r="B197" s="40"/>
      <c r="C197" s="40"/>
    </row>
    <row r="198" spans="1:8" ht="15.75" thickBot="1" x14ac:dyDescent="0.3">
      <c r="A198" s="800"/>
      <c r="B198" s="40"/>
      <c r="C198" s="40"/>
    </row>
    <row r="199" spans="1:8" ht="19.5" thickBot="1" x14ac:dyDescent="0.35">
      <c r="A199" s="800"/>
      <c r="B199" s="805" t="s">
        <v>146</v>
      </c>
      <c r="C199" s="805"/>
      <c r="D199" s="805"/>
      <c r="E199" s="805"/>
      <c r="F199" s="805"/>
      <c r="G199" s="805"/>
      <c r="H199" s="805"/>
    </row>
    <row r="200" spans="1:8" ht="16.5" thickBot="1" x14ac:dyDescent="0.3">
      <c r="A200" s="800"/>
      <c r="B200" s="35"/>
      <c r="C200" s="788" t="s">
        <v>56</v>
      </c>
      <c r="D200" s="788"/>
      <c r="E200" s="788" t="s">
        <v>57</v>
      </c>
      <c r="F200" s="788"/>
      <c r="G200" s="788" t="s">
        <v>58</v>
      </c>
      <c r="H200" s="788"/>
    </row>
    <row r="201" spans="1:8" ht="32.25" thickBot="1" x14ac:dyDescent="0.3">
      <c r="A201" s="800"/>
      <c r="B201" s="323" t="s">
        <v>138</v>
      </c>
      <c r="C201" s="35" t="s">
        <v>132</v>
      </c>
      <c r="D201" s="35" t="s">
        <v>61</v>
      </c>
      <c r="E201" s="35" t="s">
        <v>133</v>
      </c>
      <c r="F201" s="35" t="s">
        <v>63</v>
      </c>
      <c r="G201" s="35" t="s">
        <v>134</v>
      </c>
      <c r="H201" s="35" t="s">
        <v>65</v>
      </c>
    </row>
    <row r="202" spans="1:8" ht="15.75" x14ac:dyDescent="0.25">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75" x14ac:dyDescent="0.25">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75" x14ac:dyDescent="0.25">
      <c r="A204" s="800"/>
      <c r="B204" s="329" t="s">
        <v>141</v>
      </c>
      <c r="C204" s="471">
        <f t="shared" ref="C204:H204" si="40">C164+C184</f>
        <v>0</v>
      </c>
      <c r="D204" s="471">
        <f t="shared" si="40"/>
        <v>0</v>
      </c>
      <c r="E204" s="471">
        <f t="shared" si="40"/>
        <v>0</v>
      </c>
      <c r="F204" s="471">
        <f t="shared" si="40"/>
        <v>0</v>
      </c>
      <c r="G204" s="471">
        <f t="shared" si="40"/>
        <v>0</v>
      </c>
      <c r="H204" s="471">
        <f t="shared" si="40"/>
        <v>0</v>
      </c>
    </row>
    <row r="205" spans="1:8" ht="15.75" x14ac:dyDescent="0.25">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75" x14ac:dyDescent="0.25">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25">
      <c r="A207" s="800"/>
      <c r="B207" s="40"/>
      <c r="C207" s="40"/>
      <c r="D207" s="40"/>
      <c r="E207" s="40"/>
      <c r="F207" s="40"/>
      <c r="G207" s="40"/>
      <c r="H207" s="40"/>
    </row>
    <row r="208" spans="1:8" x14ac:dyDescent="0.25">
      <c r="A208" s="800"/>
      <c r="B208" s="40"/>
      <c r="C208" s="40"/>
      <c r="D208" s="40"/>
      <c r="E208" s="40"/>
      <c r="F208" s="40"/>
      <c r="G208" s="40"/>
      <c r="H208" s="40"/>
    </row>
    <row r="209" spans="1:8" x14ac:dyDescent="0.25">
      <c r="A209" s="800"/>
      <c r="B209" s="40"/>
      <c r="C209" s="40"/>
      <c r="D209" s="40"/>
      <c r="E209" s="40"/>
      <c r="F209" s="40"/>
      <c r="G209" s="40"/>
      <c r="H209" s="40"/>
    </row>
    <row r="210" spans="1:8" x14ac:dyDescent="0.25">
      <c r="A210" s="800"/>
      <c r="B210" s="40"/>
      <c r="C210" s="40"/>
      <c r="D210" s="40"/>
      <c r="E210" s="40"/>
      <c r="F210" s="40"/>
      <c r="G210" s="40"/>
      <c r="H210" s="40"/>
    </row>
    <row r="211" spans="1:8" x14ac:dyDescent="0.25">
      <c r="B211" s="40"/>
      <c r="C211" s="40"/>
      <c r="D211" s="40"/>
      <c r="E211" s="40"/>
      <c r="F211" s="40"/>
      <c r="G211" s="40"/>
      <c r="H211" s="40"/>
    </row>
    <row r="212" spans="1:8" x14ac:dyDescent="0.25">
      <c r="B212" s="40"/>
      <c r="C212" s="40"/>
      <c r="D212" s="40"/>
      <c r="E212" s="40"/>
      <c r="F212" s="40"/>
      <c r="G212" s="40"/>
      <c r="H212" s="40"/>
    </row>
    <row r="213" spans="1:8" x14ac:dyDescent="0.25">
      <c r="B213" s="40"/>
      <c r="C213" s="40"/>
      <c r="D213" s="40"/>
      <c r="E213" s="40"/>
      <c r="F213" s="40"/>
      <c r="G213" s="40"/>
      <c r="H213" s="40"/>
    </row>
    <row r="214" spans="1:8" x14ac:dyDescent="0.25">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5" zeroHeight="1" x14ac:dyDescent="0.25"/>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3">
      <c r="A1" s="452"/>
      <c r="B1" s="40"/>
      <c r="C1" s="40"/>
      <c r="D1" s="40"/>
      <c r="E1" s="40"/>
      <c r="G1" s="40"/>
      <c r="H1" s="40"/>
      <c r="I1" s="40"/>
      <c r="J1" s="40"/>
      <c r="K1" s="40"/>
      <c r="L1" s="40"/>
      <c r="M1" s="40"/>
      <c r="N1" s="40"/>
      <c r="O1" s="40"/>
      <c r="P1" s="40"/>
      <c r="Q1" s="40"/>
    </row>
    <row r="2" spans="1:17" ht="26.25" thickBot="1" x14ac:dyDescent="0.3">
      <c r="A2" s="40"/>
      <c r="B2" s="863" t="s">
        <v>147</v>
      </c>
      <c r="C2" s="864"/>
      <c r="D2" s="864"/>
      <c r="E2" s="864"/>
      <c r="F2" s="864"/>
      <c r="G2" s="876"/>
      <c r="H2" s="40"/>
      <c r="I2" s="40"/>
      <c r="J2" s="40"/>
      <c r="K2" s="40"/>
      <c r="L2" s="40"/>
      <c r="M2" s="40"/>
      <c r="N2" s="40"/>
      <c r="O2" s="40"/>
      <c r="P2" s="40"/>
      <c r="Q2" s="40"/>
    </row>
    <row r="3" spans="1:17" ht="15" customHeight="1" x14ac:dyDescent="0.25">
      <c r="A3" s="40"/>
      <c r="B3" s="879" t="s">
        <v>148</v>
      </c>
      <c r="C3" s="881" t="s">
        <v>149</v>
      </c>
      <c r="D3" s="881"/>
      <c r="E3" s="881"/>
      <c r="F3" s="881"/>
      <c r="G3" s="877" t="s">
        <v>150</v>
      </c>
      <c r="H3" s="271"/>
      <c r="I3" s="271"/>
      <c r="J3" s="271"/>
      <c r="K3" s="271"/>
      <c r="L3" s="40"/>
      <c r="M3" s="40"/>
      <c r="N3" s="40"/>
      <c r="O3" s="40"/>
      <c r="P3" s="40"/>
      <c r="Q3" s="40"/>
    </row>
    <row r="4" spans="1:17" ht="14.25" customHeight="1" x14ac:dyDescent="0.25">
      <c r="A4" s="40"/>
      <c r="B4" s="880"/>
      <c r="C4" s="882"/>
      <c r="D4" s="882"/>
      <c r="E4" s="882"/>
      <c r="F4" s="882"/>
      <c r="G4" s="878"/>
      <c r="H4" s="271"/>
      <c r="I4" s="271"/>
      <c r="J4" s="271"/>
      <c r="K4" s="271"/>
      <c r="L4" s="40"/>
      <c r="M4" s="40"/>
      <c r="N4" s="40"/>
      <c r="O4" s="40"/>
      <c r="P4" s="40"/>
      <c r="Q4" s="40"/>
    </row>
    <row r="5" spans="1:17" ht="20.25" x14ac:dyDescent="0.25">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25">
      <c r="A6" s="40"/>
      <c r="B6" s="129" t="s">
        <v>153</v>
      </c>
      <c r="C6" s="884" t="s">
        <v>154</v>
      </c>
      <c r="D6" s="884"/>
      <c r="E6" s="884"/>
      <c r="F6" s="884"/>
      <c r="G6" s="262" t="str">
        <f>IFERROR(IF(J41&lt;0,"No ▲","Yes ✓"),"")</f>
        <v>Yes ✓</v>
      </c>
      <c r="H6" s="40"/>
      <c r="I6" s="40"/>
      <c r="J6" s="40"/>
      <c r="K6" s="40"/>
      <c r="L6" s="40"/>
      <c r="M6" s="40"/>
      <c r="N6" s="40"/>
      <c r="O6" s="40"/>
      <c r="P6" s="40"/>
      <c r="Q6" s="40"/>
    </row>
    <row r="7" spans="1:17" ht="19.5" customHeight="1" x14ac:dyDescent="0.25">
      <c r="A7" s="40"/>
      <c r="B7" s="129" t="s">
        <v>23</v>
      </c>
      <c r="C7" s="885" t="s">
        <v>155</v>
      </c>
      <c r="D7" s="885"/>
      <c r="E7" s="885"/>
      <c r="F7" s="885"/>
      <c r="G7" s="148" t="str">
        <f>IF(J40+J12+J89&lt;0,"No ▲","Yes ✓")</f>
        <v>Yes ✓</v>
      </c>
      <c r="H7" s="40"/>
      <c r="I7" s="40"/>
      <c r="J7" s="40"/>
      <c r="K7" s="40"/>
      <c r="L7" s="40"/>
      <c r="M7" s="40"/>
      <c r="N7" s="40"/>
      <c r="O7" s="40"/>
      <c r="P7" s="40"/>
      <c r="Q7" s="40"/>
    </row>
    <row r="8" spans="1:17" ht="18.75" customHeight="1" thickBot="1" x14ac:dyDescent="0.3">
      <c r="A8" s="40"/>
      <c r="B8" s="97" t="s">
        <v>156</v>
      </c>
      <c r="C8" s="886" t="s">
        <v>157</v>
      </c>
      <c r="D8" s="886"/>
      <c r="E8" s="886"/>
      <c r="F8" s="886"/>
      <c r="G8" s="162" t="str">
        <f>IF(J124&lt;0,"No ▲","Yes ✓")</f>
        <v>Yes ✓</v>
      </c>
      <c r="H8" s="40"/>
      <c r="I8" s="40"/>
      <c r="J8" s="40"/>
      <c r="K8" s="40"/>
      <c r="L8" s="40"/>
      <c r="M8" s="40"/>
      <c r="N8" s="40"/>
      <c r="O8" s="40"/>
      <c r="P8" s="40"/>
      <c r="Q8" s="40"/>
    </row>
    <row r="9" spans="1:17" ht="14.25" customHeight="1" x14ac:dyDescent="0.25">
      <c r="A9" s="40"/>
      <c r="B9" s="40"/>
      <c r="C9" s="40"/>
      <c r="D9" s="40"/>
      <c r="E9" s="40"/>
      <c r="F9" s="40"/>
      <c r="G9" s="40"/>
      <c r="H9" s="40"/>
      <c r="I9" s="40"/>
      <c r="J9" s="40"/>
      <c r="K9" s="40"/>
      <c r="L9" s="40"/>
      <c r="M9" s="40"/>
      <c r="N9" s="40"/>
      <c r="O9" s="40"/>
      <c r="P9" s="40"/>
      <c r="Q9" s="40"/>
    </row>
    <row r="10" spans="1:17" ht="15.75" thickBot="1" x14ac:dyDescent="0.3">
      <c r="A10" s="40"/>
      <c r="B10" s="40"/>
      <c r="C10" s="40"/>
      <c r="D10" s="40"/>
      <c r="E10" s="40"/>
      <c r="F10" s="40"/>
      <c r="G10" s="40"/>
      <c r="H10" s="40"/>
      <c r="I10" s="40"/>
      <c r="J10" s="40"/>
      <c r="K10" s="40"/>
      <c r="L10" s="40"/>
      <c r="M10" s="40"/>
      <c r="N10" s="40"/>
      <c r="O10" s="40"/>
      <c r="P10" s="40"/>
      <c r="Q10" s="40"/>
    </row>
    <row r="11" spans="1:17" ht="26.25" thickBot="1" x14ac:dyDescent="0.3">
      <c r="A11" s="40"/>
      <c r="B11" s="863" t="s">
        <v>158</v>
      </c>
      <c r="C11" s="864"/>
      <c r="D11" s="864"/>
      <c r="E11" s="864"/>
      <c r="F11" s="864"/>
      <c r="G11" s="876"/>
      <c r="H11" s="40"/>
      <c r="I11" s="867" t="s">
        <v>159</v>
      </c>
      <c r="J11" s="868"/>
      <c r="K11" s="40"/>
      <c r="L11" s="40"/>
      <c r="M11" s="40"/>
      <c r="N11" s="40"/>
      <c r="O11" s="40"/>
      <c r="P11" s="40"/>
      <c r="Q11" s="40"/>
    </row>
    <row r="12" spans="1:17" s="42" customFormat="1" ht="48" thickBot="1" x14ac:dyDescent="0.3">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25">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x14ac:dyDescent="0.25">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5">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5">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5">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5">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5">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5">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5">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5">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5">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5">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5">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5">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5">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25">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5">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5">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5">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75" thickBot="1" x14ac:dyDescent="0.3">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75" thickBot="1" x14ac:dyDescent="0.3">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25">
      <c r="A34" s="40"/>
      <c r="B34" s="40"/>
      <c r="C34" s="40"/>
      <c r="D34" s="40"/>
      <c r="E34" s="40"/>
      <c r="F34" s="40"/>
      <c r="G34" s="40"/>
      <c r="H34" s="40"/>
      <c r="I34" s="40"/>
      <c r="J34" s="40"/>
      <c r="K34" s="40"/>
      <c r="L34" s="40"/>
      <c r="M34" s="40"/>
      <c r="N34" s="40"/>
      <c r="O34" s="40"/>
      <c r="P34" s="40"/>
      <c r="Q34" s="40"/>
    </row>
    <row r="35" spans="1:17" x14ac:dyDescent="0.25">
      <c r="A35" s="40"/>
      <c r="B35" s="40"/>
      <c r="C35" s="40"/>
      <c r="D35" s="40"/>
      <c r="E35" s="40"/>
      <c r="F35" s="40"/>
      <c r="G35" s="40"/>
      <c r="H35" s="40"/>
      <c r="I35" s="40"/>
      <c r="J35" s="40"/>
      <c r="K35" s="40"/>
      <c r="L35" s="40"/>
      <c r="M35" s="40"/>
      <c r="N35" s="40"/>
      <c r="O35" s="40"/>
      <c r="P35" s="40"/>
      <c r="Q35" s="40"/>
    </row>
    <row r="36" spans="1:17" x14ac:dyDescent="0.25">
      <c r="A36" s="40"/>
      <c r="B36" s="40"/>
      <c r="C36" s="40"/>
      <c r="D36" s="40"/>
      <c r="E36" s="40"/>
      <c r="F36" s="40"/>
      <c r="G36" s="40"/>
      <c r="H36" s="40"/>
      <c r="I36" s="40"/>
      <c r="J36" s="40"/>
      <c r="K36" s="40"/>
      <c r="L36" s="40"/>
      <c r="M36" s="40"/>
      <c r="N36" s="40"/>
      <c r="O36" s="40"/>
      <c r="P36" s="40"/>
      <c r="Q36" s="40"/>
    </row>
    <row r="37" spans="1:17" x14ac:dyDescent="0.25">
      <c r="A37" s="40"/>
      <c r="B37" s="40"/>
      <c r="C37" s="40"/>
      <c r="D37" s="40"/>
      <c r="E37" s="40"/>
      <c r="F37" s="40"/>
      <c r="G37" s="40"/>
      <c r="H37" s="40"/>
      <c r="I37" s="40"/>
      <c r="J37" s="40"/>
      <c r="K37" s="40"/>
      <c r="L37" s="40"/>
      <c r="M37" s="40"/>
      <c r="N37" s="40"/>
      <c r="O37" s="40"/>
      <c r="P37" s="40"/>
      <c r="Q37" s="40"/>
    </row>
    <row r="38" spans="1:17" ht="15.75" thickBot="1" x14ac:dyDescent="0.3">
      <c r="A38" s="40"/>
      <c r="B38" s="40"/>
      <c r="C38" s="40"/>
      <c r="D38" s="40"/>
      <c r="E38" s="40"/>
      <c r="F38" s="40"/>
      <c r="G38" s="40"/>
      <c r="H38" s="40"/>
      <c r="I38" s="40"/>
      <c r="J38" s="40"/>
      <c r="K38" s="40"/>
      <c r="L38" s="40"/>
      <c r="M38" s="40"/>
      <c r="N38" s="40"/>
      <c r="O38" s="40"/>
      <c r="P38" s="40"/>
      <c r="Q38" s="40"/>
    </row>
    <row r="39" spans="1:17" ht="26.25" thickBot="1" x14ac:dyDescent="0.3">
      <c r="A39" s="40"/>
      <c r="B39" s="863" t="s">
        <v>166</v>
      </c>
      <c r="C39" s="864"/>
      <c r="D39" s="864"/>
      <c r="E39" s="864"/>
      <c r="F39" s="864"/>
      <c r="G39" s="876"/>
      <c r="H39" s="40"/>
      <c r="I39" s="867" t="s">
        <v>167</v>
      </c>
      <c r="J39" s="868"/>
      <c r="K39" s="40"/>
      <c r="L39" s="40"/>
      <c r="M39" s="40"/>
    </row>
    <row r="40" spans="1:17" ht="47.25" x14ac:dyDescent="0.25">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5.75" thickBot="1" x14ac:dyDescent="0.3">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25">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5">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25">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5">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5">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5">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5">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5">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5">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25">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5">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2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2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x14ac:dyDescent="0.25">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75" thickBot="1" x14ac:dyDescent="0.3">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75" thickBot="1" x14ac:dyDescent="0.3">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25">
      <c r="A83" s="40"/>
      <c r="B83" s="40"/>
      <c r="C83" s="40"/>
      <c r="D83" s="40"/>
      <c r="E83" s="40"/>
      <c r="F83" s="40"/>
      <c r="G83" s="40"/>
      <c r="H83" s="40"/>
      <c r="I83" s="40"/>
      <c r="J83" s="40"/>
      <c r="K83" s="40"/>
      <c r="L83" s="40"/>
      <c r="M83" s="40"/>
      <c r="N83" s="40"/>
      <c r="O83" s="40"/>
      <c r="P83" s="40"/>
      <c r="Q83" s="40"/>
    </row>
    <row r="84" spans="1:17" x14ac:dyDescent="0.25">
      <c r="A84" s="40"/>
      <c r="B84" s="40"/>
      <c r="C84" s="40"/>
      <c r="D84" s="40"/>
      <c r="E84" s="40"/>
      <c r="F84" s="40"/>
      <c r="G84" s="40"/>
      <c r="H84" s="40"/>
      <c r="I84" s="40"/>
      <c r="J84" s="40"/>
      <c r="K84" s="40"/>
      <c r="L84" s="40"/>
      <c r="M84" s="40"/>
      <c r="N84" s="40"/>
      <c r="O84" s="40"/>
      <c r="P84" s="40"/>
      <c r="Q84" s="40"/>
    </row>
    <row r="85" spans="1:17" x14ac:dyDescent="0.25">
      <c r="A85" s="40"/>
      <c r="B85" s="40"/>
      <c r="C85" s="40"/>
      <c r="D85" s="40"/>
      <c r="E85" s="40"/>
      <c r="F85" s="40"/>
      <c r="G85" s="40"/>
      <c r="H85" s="40"/>
      <c r="I85" s="40"/>
      <c r="J85" s="40"/>
      <c r="K85" s="40"/>
      <c r="L85" s="40"/>
      <c r="M85" s="40"/>
      <c r="N85" s="40"/>
      <c r="O85" s="40"/>
      <c r="P85" s="40"/>
      <c r="Q85" s="40"/>
    </row>
    <row r="86" spans="1:17" ht="15.75" thickBot="1" x14ac:dyDescent="0.3">
      <c r="A86" s="40"/>
      <c r="B86" s="40"/>
      <c r="C86" s="40"/>
      <c r="D86" s="40"/>
      <c r="E86" s="40"/>
      <c r="F86" s="40"/>
      <c r="G86" s="40"/>
      <c r="H86" s="40"/>
      <c r="I86" s="40"/>
      <c r="J86" s="40"/>
      <c r="K86" s="40"/>
      <c r="L86" s="40"/>
      <c r="M86" s="40"/>
      <c r="N86" s="40"/>
      <c r="O86" s="40"/>
      <c r="P86" s="40"/>
      <c r="Q86" s="40"/>
    </row>
    <row r="87" spans="1:17" ht="27.75" thickBot="1" x14ac:dyDescent="0.35">
      <c r="A87" s="40"/>
      <c r="B87" s="872" t="s">
        <v>171</v>
      </c>
      <c r="C87" s="873"/>
      <c r="D87" s="873"/>
      <c r="E87" s="873"/>
      <c r="F87" s="873"/>
      <c r="G87" s="874"/>
      <c r="H87" s="40"/>
      <c r="I87" s="865" t="s">
        <v>172</v>
      </c>
      <c r="J87" s="866"/>
      <c r="K87" s="40"/>
      <c r="L87" s="40"/>
      <c r="M87" s="40"/>
      <c r="N87" s="40"/>
      <c r="O87" s="40"/>
    </row>
    <row r="88" spans="1:17" ht="48" thickBot="1" x14ac:dyDescent="0.3">
      <c r="A88" s="40"/>
      <c r="B88" s="350" t="s">
        <v>173</v>
      </c>
      <c r="C88" s="351" t="s">
        <v>160</v>
      </c>
      <c r="D88" s="351" t="s">
        <v>174</v>
      </c>
      <c r="E88" s="351" t="s">
        <v>175</v>
      </c>
      <c r="F88" s="351" t="s">
        <v>176</v>
      </c>
      <c r="G88" s="352" t="s">
        <v>177</v>
      </c>
      <c r="H88" s="40"/>
      <c r="I88" s="96" t="s">
        <v>178</v>
      </c>
      <c r="J88" s="487">
        <f>SUMIF(G89:G113,"&gt;0")</f>
        <v>0.23867669749536002</v>
      </c>
      <c r="K88" s="40"/>
      <c r="L88" s="40"/>
    </row>
    <row r="89" spans="1:17" ht="30" x14ac:dyDescent="0.25">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SUMIF(G89:G113,"&lt;0")</f>
        <v>0</v>
      </c>
      <c r="K89" s="40"/>
      <c r="L89" s="40"/>
    </row>
    <row r="90" spans="1:17" ht="30" x14ac:dyDescent="0.25">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IF(J40+J12+J89&gt;0,J40+J12+J89,0)</f>
        <v>0</v>
      </c>
    </row>
    <row r="91" spans="1:17" ht="15.75" thickBot="1" x14ac:dyDescent="0.3">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J90+J88</f>
        <v>0.23867669749536002</v>
      </c>
      <c r="K91" s="40"/>
      <c r="L91" s="40"/>
    </row>
    <row r="92" spans="1:17" ht="15.75" thickBot="1" x14ac:dyDescent="0.3">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25">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SUM(F93:F95)</f>
        <v>0</v>
      </c>
      <c r="H93" s="40"/>
      <c r="I93" s="40"/>
      <c r="J93" s="40"/>
      <c r="K93" s="40"/>
      <c r="L93" s="40"/>
    </row>
    <row r="94" spans="1:17" x14ac:dyDescent="0.25">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70"/>
      <c r="H94" s="40"/>
      <c r="I94" s="40"/>
      <c r="J94" s="40"/>
      <c r="K94" s="40"/>
      <c r="L94" s="40"/>
    </row>
    <row r="95" spans="1:17" ht="15.75" thickBot="1" x14ac:dyDescent="0.3">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25">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v>
      </c>
      <c r="H96" s="40"/>
      <c r="I96" s="40"/>
      <c r="J96" s="40"/>
      <c r="K96" s="40"/>
      <c r="L96" s="40"/>
      <c r="M96" s="40"/>
    </row>
    <row r="97" spans="1:15" x14ac:dyDescent="0.2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0"/>
      <c r="H97" s="40"/>
      <c r="I97" s="40"/>
      <c r="J97" s="40"/>
      <c r="K97" s="40"/>
      <c r="L97" s="40"/>
      <c r="M97" s="40"/>
    </row>
    <row r="98" spans="1:15" x14ac:dyDescent="0.2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2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2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5.75" thickBot="1" x14ac:dyDescent="0.3">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x14ac:dyDescent="0.2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5.75" thickBot="1" x14ac:dyDescent="0.3">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5.75" thickBot="1" x14ac:dyDescent="0.3">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0.23867669749536002</v>
      </c>
      <c r="H105" s="40"/>
      <c r="I105" s="40"/>
      <c r="J105" s="40"/>
      <c r="K105" s="40"/>
      <c r="L105" s="40"/>
      <c r="M105" s="40"/>
      <c r="N105" s="40"/>
      <c r="O105" s="40"/>
    </row>
    <row r="106" spans="1:15" ht="15" customHeight="1" x14ac:dyDescent="0.25">
      <c r="A106" s="40"/>
      <c r="B106" s="660" t="str">
        <f>'G-2 Habitat groups'!AU94</f>
        <v>Urban - Biodiverse green roof</v>
      </c>
      <c r="C106" s="661" t="str">
        <f>'G-2 Habitat groups'!AV94</f>
        <v>Urban</v>
      </c>
      <c r="D106" s="495">
        <f>'G-2 Habitat groups'!BB94</f>
        <v>0.26912411011296</v>
      </c>
      <c r="E106" s="495">
        <f>'G-2 Habitat groups'!BD94</f>
        <v>0</v>
      </c>
      <c r="F106" s="495">
        <f>'G-2 Habitat groups'!BE94</f>
        <v>0.26912411011296</v>
      </c>
      <c r="G106" s="870"/>
      <c r="H106" s="40"/>
      <c r="I106" s="40"/>
      <c r="J106" s="40"/>
      <c r="K106" s="40"/>
      <c r="L106" s="40"/>
      <c r="M106" s="40"/>
      <c r="N106" s="40"/>
      <c r="O106" s="40"/>
    </row>
    <row r="107" spans="1:15" ht="15.75" customHeight="1" thickBot="1" x14ac:dyDescent="0.3">
      <c r="A107" s="40"/>
      <c r="B107" s="662" t="str">
        <f>'G-2 Habitat groups'!AU130</f>
        <v>Urban - Urban Tree</v>
      </c>
      <c r="C107" s="124" t="str">
        <f>'G-2 Habitat groups'!AV130</f>
        <v>Urban</v>
      </c>
      <c r="D107" s="663">
        <f>'G-2 Habitat groups'!BB130</f>
        <v>-3.0447412617599978E-2</v>
      </c>
      <c r="E107" s="663">
        <f>'G-2 Habitat groups'!BD130</f>
        <v>0</v>
      </c>
      <c r="F107" s="480">
        <f>'G-2 Habitat groups'!BE130</f>
        <v>-3.0447412617599978E-2</v>
      </c>
      <c r="G107" s="871"/>
      <c r="H107" s="40"/>
      <c r="I107" s="40"/>
      <c r="J107" s="40"/>
      <c r="K107" s="40"/>
      <c r="L107" s="40"/>
      <c r="M107" s="40"/>
      <c r="N107" s="40"/>
      <c r="O107" s="40"/>
    </row>
    <row r="108" spans="1:15" x14ac:dyDescent="0.2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0</v>
      </c>
      <c r="H108" s="40"/>
      <c r="I108" s="40"/>
      <c r="J108" s="40"/>
      <c r="K108" s="40"/>
      <c r="L108" s="40"/>
      <c r="M108" s="40"/>
      <c r="N108" s="40"/>
      <c r="O108" s="40"/>
    </row>
    <row r="109" spans="1:15" x14ac:dyDescent="0.2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5.75" thickBot="1" x14ac:dyDescent="0.3">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2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2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3">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5" customHeight="1" thickBot="1" x14ac:dyDescent="0.3">
      <c r="A114" s="40"/>
      <c r="B114" s="40"/>
      <c r="C114" s="40"/>
      <c r="D114" s="476">
        <f>SUM(D89:D113)</f>
        <v>0.23867669749536002</v>
      </c>
      <c r="E114" s="477">
        <f>SUM(E89:E113)</f>
        <v>0</v>
      </c>
      <c r="F114" s="478">
        <f>SUM(F89:F113)</f>
        <v>0.23867669749536002</v>
      </c>
      <c r="H114" s="40"/>
      <c r="I114" s="40"/>
      <c r="J114" s="40"/>
      <c r="K114" s="40"/>
      <c r="L114" s="40"/>
      <c r="M114" s="40"/>
      <c r="N114" s="40"/>
      <c r="O114" s="40"/>
    </row>
    <row r="115" spans="1:17" x14ac:dyDescent="0.25">
      <c r="A115" s="40"/>
      <c r="B115" s="40"/>
      <c r="C115" s="40"/>
      <c r="D115" s="40"/>
      <c r="E115" s="40"/>
      <c r="F115" s="40"/>
      <c r="G115" s="40"/>
      <c r="H115" s="40"/>
      <c r="I115" s="40"/>
      <c r="J115" s="40"/>
      <c r="K115" s="40"/>
      <c r="L115" s="40"/>
      <c r="M115" s="40"/>
      <c r="N115" s="40"/>
      <c r="O115" s="40"/>
      <c r="P115" s="40"/>
      <c r="Q115" s="40"/>
    </row>
    <row r="116" spans="1:17" x14ac:dyDescent="0.25">
      <c r="A116" s="40"/>
      <c r="B116" s="40"/>
      <c r="C116" s="40"/>
      <c r="D116" s="40"/>
      <c r="E116" s="40"/>
      <c r="F116" s="40"/>
      <c r="G116" s="40"/>
      <c r="H116" s="40"/>
      <c r="I116" s="40"/>
      <c r="J116" s="40"/>
      <c r="K116" s="40"/>
      <c r="L116" s="40"/>
      <c r="M116" s="40"/>
      <c r="N116" s="40"/>
      <c r="O116" s="40"/>
      <c r="P116" s="40"/>
      <c r="Q116" s="40"/>
    </row>
    <row r="117" spans="1:17" x14ac:dyDescent="0.25">
      <c r="A117" s="40"/>
      <c r="B117" s="40"/>
      <c r="C117" s="40"/>
      <c r="D117" s="40"/>
      <c r="E117" s="40"/>
      <c r="F117" s="40"/>
      <c r="G117" s="40"/>
      <c r="H117" s="40"/>
      <c r="I117" s="40"/>
      <c r="J117" s="40"/>
      <c r="K117" s="40"/>
      <c r="L117" s="40"/>
      <c r="M117" s="40"/>
      <c r="N117" s="40"/>
      <c r="O117" s="40"/>
      <c r="P117" s="40"/>
      <c r="Q117" s="40"/>
    </row>
    <row r="118" spans="1:17" x14ac:dyDescent="0.25">
      <c r="A118" s="40"/>
      <c r="B118" s="40"/>
      <c r="C118" s="40"/>
      <c r="D118" s="40"/>
      <c r="E118" s="40"/>
      <c r="F118" s="40"/>
      <c r="G118" s="40"/>
      <c r="H118" s="40"/>
      <c r="I118" s="40"/>
      <c r="J118" s="40"/>
      <c r="K118" s="40"/>
      <c r="L118" s="40"/>
      <c r="M118" s="40"/>
      <c r="N118" s="40"/>
      <c r="O118" s="40"/>
      <c r="P118" s="40"/>
      <c r="Q118" s="40"/>
    </row>
    <row r="119" spans="1:17" x14ac:dyDescent="0.25">
      <c r="A119" s="40"/>
      <c r="B119" s="40"/>
      <c r="C119" s="40"/>
      <c r="D119" s="40"/>
      <c r="E119" s="40"/>
      <c r="F119" s="40"/>
      <c r="G119" s="40"/>
      <c r="H119" s="40"/>
      <c r="I119" s="40"/>
      <c r="J119" s="40"/>
      <c r="K119" s="40"/>
      <c r="L119" s="40"/>
      <c r="M119" s="40"/>
      <c r="N119" s="40"/>
      <c r="O119" s="40"/>
      <c r="P119" s="40"/>
      <c r="Q119" s="40"/>
    </row>
    <row r="120" spans="1:17" ht="15.75" thickBot="1" x14ac:dyDescent="0.3">
      <c r="A120" s="40"/>
      <c r="B120" s="40"/>
      <c r="C120" s="40"/>
      <c r="D120" s="40"/>
      <c r="E120" s="40"/>
      <c r="F120" s="40"/>
      <c r="G120" s="40"/>
      <c r="H120" s="40"/>
      <c r="I120" s="40"/>
      <c r="J120" s="40"/>
      <c r="K120" s="40"/>
      <c r="L120" s="40"/>
      <c r="M120" s="40"/>
      <c r="N120" s="40"/>
      <c r="O120" s="40"/>
      <c r="P120" s="40"/>
      <c r="Q120" s="40"/>
    </row>
    <row r="121" spans="1:17" ht="26.25" thickBot="1" x14ac:dyDescent="0.3">
      <c r="A121" s="40"/>
      <c r="B121" s="863" t="s">
        <v>182</v>
      </c>
      <c r="C121" s="864"/>
      <c r="D121" s="864"/>
      <c r="E121" s="864"/>
      <c r="F121" s="864"/>
      <c r="G121" s="40"/>
      <c r="H121" s="40"/>
      <c r="I121" s="40"/>
      <c r="J121" s="40"/>
      <c r="K121" s="40"/>
      <c r="L121" s="40"/>
      <c r="M121" s="40"/>
      <c r="N121" s="40"/>
      <c r="O121" s="40"/>
    </row>
    <row r="122" spans="1:17" ht="48" thickBot="1" x14ac:dyDescent="0.35">
      <c r="A122" s="40"/>
      <c r="B122" s="93" t="s">
        <v>59</v>
      </c>
      <c r="C122" s="94" t="s">
        <v>160</v>
      </c>
      <c r="D122" s="94" t="s">
        <v>183</v>
      </c>
      <c r="E122" s="94" t="s">
        <v>162</v>
      </c>
      <c r="F122" s="94" t="s">
        <v>176</v>
      </c>
      <c r="G122" s="40"/>
      <c r="H122" s="40"/>
      <c r="I122" s="865" t="s">
        <v>184</v>
      </c>
      <c r="J122" s="866"/>
      <c r="K122" s="40"/>
      <c r="L122" s="40"/>
      <c r="M122" s="40"/>
      <c r="N122" s="40"/>
    </row>
    <row r="123" spans="1:17" x14ac:dyDescent="0.25">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-0.16980000000000001</v>
      </c>
      <c r="K123" s="40"/>
      <c r="L123" s="40"/>
      <c r="M123" s="40"/>
      <c r="N123" s="40"/>
    </row>
    <row r="124" spans="1:17" ht="15.75" thickBot="1" x14ac:dyDescent="0.3">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J123+J91</f>
        <v>6.8876697495360018E-2</v>
      </c>
      <c r="K124" s="40"/>
      <c r="L124" s="40"/>
      <c r="M124" s="40"/>
      <c r="N124" s="40"/>
    </row>
    <row r="125" spans="1:17" x14ac:dyDescent="0.25">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5">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5">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5">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25">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x14ac:dyDescent="0.2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2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2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2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25">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25">
      <c r="A146" s="40"/>
      <c r="B146" s="87" t="str">
        <f>'G-2 Habitat groups'!AU133</f>
        <v>Urban - Vegetated garden</v>
      </c>
      <c r="C146" s="88" t="str">
        <f>'G-2 Habitat groups'!AV133</f>
        <v>Urban</v>
      </c>
      <c r="D146" s="493">
        <f>'G-2 Habitat groups'!BB133</f>
        <v>-0.16980000000000001</v>
      </c>
      <c r="E146" s="493">
        <f>'G-2 Habitat groups'!BD133</f>
        <v>0</v>
      </c>
      <c r="F146" s="480">
        <f>'G-2 Habitat groups'!BE133</f>
        <v>-0.16980000000000001</v>
      </c>
      <c r="G146" s="40"/>
      <c r="H146" s="40"/>
      <c r="I146" s="40"/>
      <c r="J146" s="40"/>
      <c r="K146" s="40"/>
      <c r="L146" s="40"/>
      <c r="M146" s="40"/>
      <c r="N146" s="40"/>
      <c r="O146" s="40"/>
    </row>
    <row r="147" spans="1:17" x14ac:dyDescent="0.25">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5">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5">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5">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5">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5">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5">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5">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5">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5">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5">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75" thickBot="1" x14ac:dyDescent="0.3">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75" thickBot="1" x14ac:dyDescent="0.3">
      <c r="A159" s="40"/>
      <c r="B159" s="40"/>
      <c r="C159" s="40"/>
      <c r="D159" s="479">
        <f>SUM(D123:D158)</f>
        <v>-0.16980000000000001</v>
      </c>
      <c r="E159" s="40"/>
      <c r="F159" s="479">
        <f>SUM(F123:F158)</f>
        <v>-0.16980000000000001</v>
      </c>
      <c r="G159" s="40"/>
      <c r="H159" s="40"/>
      <c r="I159" s="40"/>
      <c r="J159" s="40"/>
      <c r="K159" s="40"/>
      <c r="L159" s="40"/>
      <c r="M159" s="40"/>
      <c r="N159" s="40"/>
      <c r="O159" s="40"/>
      <c r="P159" s="40"/>
      <c r="Q159" s="40"/>
    </row>
    <row r="160" spans="1:17" x14ac:dyDescent="0.25">
      <c r="A160" s="40"/>
      <c r="G160" s="40"/>
      <c r="H160" s="40"/>
      <c r="I160" s="40"/>
      <c r="J160" s="40"/>
      <c r="K160" s="40"/>
      <c r="L160" s="40"/>
      <c r="M160" s="40"/>
      <c r="N160" s="40"/>
      <c r="O160" s="40"/>
      <c r="P160" s="40"/>
      <c r="Q160" s="40"/>
    </row>
    <row r="161" spans="1:17" hidden="1" x14ac:dyDescent="0.25">
      <c r="A161" s="40"/>
      <c r="B161" s="40"/>
      <c r="C161" s="40"/>
      <c r="D161" s="40"/>
      <c r="E161" s="40"/>
      <c r="F161" s="40"/>
      <c r="G161" s="40"/>
      <c r="H161" s="40"/>
      <c r="I161" s="40"/>
      <c r="J161" s="40"/>
      <c r="K161" s="40"/>
      <c r="L161" s="40"/>
      <c r="M161" s="40"/>
      <c r="N161" s="40"/>
      <c r="O161" s="40"/>
      <c r="P161" s="40"/>
      <c r="Q161" s="40"/>
    </row>
    <row r="162" spans="1:17" hidden="1" x14ac:dyDescent="0.25">
      <c r="A162" s="40"/>
      <c r="B162" s="40"/>
      <c r="C162" s="40"/>
      <c r="D162" s="40"/>
      <c r="E162" s="40"/>
      <c r="F162" s="40"/>
      <c r="G162" s="40"/>
      <c r="H162" s="40"/>
      <c r="I162" s="40"/>
      <c r="J162" s="40"/>
      <c r="K162" s="40"/>
      <c r="L162" s="40"/>
      <c r="M162" s="40"/>
      <c r="N162" s="40"/>
      <c r="O162" s="40"/>
      <c r="P162" s="40"/>
      <c r="Q162" s="40"/>
    </row>
    <row r="163" spans="1:17" hidden="1" x14ac:dyDescent="0.25">
      <c r="A163" s="40"/>
      <c r="B163" s="40"/>
      <c r="C163" s="40"/>
      <c r="D163" s="40"/>
      <c r="E163" s="40"/>
      <c r="F163" s="40"/>
      <c r="G163" s="40"/>
      <c r="H163" s="40"/>
      <c r="I163" s="40"/>
      <c r="J163" s="40"/>
      <c r="K163" s="40"/>
      <c r="L163" s="40"/>
      <c r="M163" s="40"/>
      <c r="N163" s="40"/>
      <c r="O163" s="40"/>
      <c r="P163" s="40"/>
      <c r="Q163" s="40"/>
    </row>
    <row r="164" spans="1:17" hidden="1" x14ac:dyDescent="0.25">
      <c r="A164" s="40"/>
      <c r="B164" s="40"/>
      <c r="C164" s="40"/>
      <c r="D164" s="40"/>
      <c r="E164" s="40"/>
      <c r="F164" s="40"/>
      <c r="G164" s="40"/>
      <c r="H164" s="40"/>
      <c r="I164" s="40"/>
      <c r="J164" s="40"/>
      <c r="K164" s="40"/>
      <c r="L164" s="40"/>
      <c r="M164" s="40"/>
      <c r="N164" s="40"/>
      <c r="O164" s="40"/>
      <c r="P164" s="40"/>
      <c r="Q164" s="40"/>
    </row>
    <row r="165" spans="1:17" hidden="1" x14ac:dyDescent="0.25">
      <c r="A165" s="40"/>
      <c r="B165" s="40"/>
      <c r="C165" s="40"/>
      <c r="D165" s="40"/>
      <c r="E165" s="40"/>
      <c r="F165" s="40"/>
      <c r="G165" s="40"/>
      <c r="H165" s="40"/>
      <c r="I165" s="40"/>
      <c r="J165" s="40"/>
      <c r="K165" s="40"/>
      <c r="L165" s="40"/>
      <c r="M165" s="40"/>
      <c r="N165" s="40"/>
      <c r="O165" s="40"/>
      <c r="P165" s="40"/>
      <c r="Q165" s="40"/>
    </row>
    <row r="166" spans="1:17" hidden="1" x14ac:dyDescent="0.25">
      <c r="A166" s="40"/>
      <c r="B166" s="40"/>
      <c r="C166" s="40"/>
      <c r="D166" s="40"/>
      <c r="E166" s="40"/>
      <c r="F166" s="40"/>
      <c r="G166" s="40"/>
      <c r="H166" s="40"/>
      <c r="I166" s="40"/>
      <c r="J166" s="40"/>
      <c r="K166" s="40"/>
      <c r="L166" s="40"/>
      <c r="M166" s="40"/>
      <c r="N166" s="40"/>
      <c r="O166" s="40"/>
      <c r="P166" s="40"/>
      <c r="Q166" s="40"/>
    </row>
    <row r="167" spans="1:17" hidden="1" x14ac:dyDescent="0.25">
      <c r="A167" s="40"/>
      <c r="B167" s="40"/>
      <c r="C167" s="40"/>
      <c r="D167" s="40"/>
      <c r="E167" s="40"/>
      <c r="F167" s="40"/>
      <c r="G167" s="40"/>
      <c r="H167" s="40"/>
      <c r="I167" s="40"/>
      <c r="J167" s="40"/>
      <c r="K167" s="40"/>
      <c r="L167" s="40"/>
      <c r="M167" s="40"/>
      <c r="N167" s="40"/>
      <c r="O167" s="40"/>
      <c r="P167" s="40"/>
      <c r="Q167" s="40"/>
    </row>
    <row r="168" spans="1:17" hidden="1" x14ac:dyDescent="0.25">
      <c r="A168" s="40"/>
      <c r="B168" s="40"/>
      <c r="C168" s="40"/>
      <c r="D168" s="40"/>
      <c r="E168" s="40"/>
      <c r="F168" s="40"/>
      <c r="G168" s="40"/>
      <c r="H168" s="40"/>
      <c r="I168" s="40"/>
      <c r="J168" s="40"/>
      <c r="K168" s="40"/>
      <c r="L168" s="40"/>
      <c r="M168" s="40"/>
      <c r="N168" s="40"/>
      <c r="O168" s="40"/>
      <c r="P168" s="40"/>
      <c r="Q168" s="40"/>
    </row>
    <row r="169" spans="1:17" hidden="1" x14ac:dyDescent="0.25">
      <c r="A169" s="40"/>
      <c r="B169" s="40"/>
      <c r="C169" s="40"/>
      <c r="D169" s="40"/>
      <c r="E169" s="40"/>
      <c r="F169" s="40"/>
      <c r="G169" s="40"/>
      <c r="H169" s="40"/>
      <c r="I169" s="40"/>
      <c r="J169" s="40"/>
      <c r="K169" s="40"/>
      <c r="L169" s="40"/>
      <c r="M169" s="40"/>
      <c r="N169" s="40"/>
      <c r="O169" s="40"/>
      <c r="P169" s="40"/>
      <c r="Q169" s="40"/>
    </row>
    <row r="170" spans="1:17" hidden="1" x14ac:dyDescent="0.25">
      <c r="A170" s="40"/>
      <c r="B170" s="40"/>
      <c r="C170" s="40"/>
      <c r="D170" s="40"/>
      <c r="E170" s="40"/>
      <c r="F170" s="40"/>
      <c r="G170" s="40"/>
      <c r="H170" s="40"/>
      <c r="I170" s="40"/>
      <c r="J170" s="40"/>
      <c r="K170" s="40"/>
      <c r="L170" s="40"/>
      <c r="M170" s="40"/>
      <c r="N170" s="40"/>
      <c r="O170" s="40"/>
      <c r="P170" s="40"/>
      <c r="Q170" s="40"/>
    </row>
    <row r="171" spans="1:17" hidden="1" x14ac:dyDescent="0.25">
      <c r="A171" s="40"/>
      <c r="B171" s="40"/>
      <c r="C171" s="40"/>
      <c r="D171" s="40"/>
      <c r="E171" s="40"/>
      <c r="F171" s="40"/>
      <c r="G171" s="40"/>
      <c r="H171" s="40"/>
      <c r="I171" s="40"/>
      <c r="J171" s="40"/>
      <c r="K171" s="40"/>
      <c r="L171" s="40"/>
      <c r="M171" s="40"/>
      <c r="N171" s="40"/>
      <c r="O171" s="40"/>
      <c r="P171" s="40"/>
      <c r="Q171" s="40"/>
    </row>
    <row r="172" spans="1:17" hidden="1" x14ac:dyDescent="0.25">
      <c r="A172" s="40"/>
      <c r="B172" s="40"/>
      <c r="C172" s="40"/>
      <c r="D172" s="40"/>
      <c r="E172" s="40"/>
      <c r="F172" s="40"/>
      <c r="G172" s="40"/>
      <c r="H172" s="40"/>
      <c r="I172" s="40"/>
      <c r="J172" s="40"/>
      <c r="K172" s="40"/>
      <c r="L172" s="40"/>
      <c r="M172" s="40"/>
      <c r="N172" s="40"/>
      <c r="O172" s="40"/>
      <c r="P172" s="40"/>
      <c r="Q172" s="40"/>
    </row>
    <row r="173" spans="1:17" hidden="1" x14ac:dyDescent="0.25">
      <c r="A173" s="40"/>
      <c r="B173" s="40"/>
      <c r="C173" s="40"/>
      <c r="D173" s="40"/>
      <c r="E173" s="40"/>
      <c r="F173" s="40"/>
      <c r="G173" s="40"/>
      <c r="H173" s="40"/>
      <c r="I173" s="40"/>
      <c r="J173" s="40"/>
      <c r="K173" s="40"/>
      <c r="L173" s="40"/>
      <c r="M173" s="40"/>
      <c r="N173" s="40"/>
      <c r="O173" s="40"/>
      <c r="P173" s="40"/>
      <c r="Q173" s="40"/>
    </row>
    <row r="174" spans="1:17" hidden="1" x14ac:dyDescent="0.25">
      <c r="A174" s="40"/>
      <c r="B174" s="40"/>
      <c r="C174" s="40"/>
      <c r="D174" s="40"/>
      <c r="E174" s="40"/>
      <c r="F174" s="40"/>
      <c r="G174" s="40"/>
      <c r="H174" s="40"/>
      <c r="I174" s="40"/>
      <c r="J174" s="40"/>
      <c r="K174" s="40"/>
      <c r="L174" s="40"/>
      <c r="M174" s="40"/>
      <c r="N174" s="40"/>
      <c r="O174" s="40"/>
      <c r="P174" s="40"/>
      <c r="Q174" s="40"/>
    </row>
    <row r="175" spans="1:17" hidden="1" x14ac:dyDescent="0.25">
      <c r="A175" s="40"/>
      <c r="B175" s="40"/>
      <c r="C175" s="40"/>
      <c r="D175" s="40"/>
      <c r="E175" s="40"/>
      <c r="F175" s="40"/>
      <c r="G175" s="40"/>
      <c r="H175" s="40"/>
      <c r="I175" s="40"/>
      <c r="J175" s="40"/>
      <c r="K175" s="40"/>
      <c r="L175" s="40"/>
      <c r="M175" s="40"/>
      <c r="N175" s="40"/>
      <c r="O175" s="40"/>
      <c r="P175" s="40"/>
      <c r="Q175" s="40"/>
    </row>
    <row r="176" spans="1:17" hidden="1" x14ac:dyDescent="0.25">
      <c r="A176" s="40"/>
      <c r="B176" s="40"/>
      <c r="C176" s="40"/>
      <c r="D176" s="40"/>
      <c r="E176" s="40"/>
      <c r="F176" s="40"/>
      <c r="G176" s="40"/>
      <c r="H176" s="40"/>
      <c r="I176" s="40"/>
      <c r="J176" s="40"/>
      <c r="K176" s="40"/>
      <c r="L176" s="40"/>
      <c r="M176" s="40"/>
      <c r="N176" s="40"/>
      <c r="O176" s="40"/>
      <c r="P176" s="40"/>
      <c r="Q176" s="40"/>
    </row>
    <row r="177" spans="1:17" hidden="1" x14ac:dyDescent="0.25">
      <c r="A177" s="40"/>
      <c r="B177" s="40"/>
      <c r="C177" s="40"/>
      <c r="D177" s="40"/>
      <c r="E177" s="40"/>
      <c r="F177" s="40"/>
      <c r="G177" s="40"/>
      <c r="H177" s="40"/>
      <c r="I177" s="40"/>
      <c r="J177" s="40"/>
      <c r="K177" s="40"/>
      <c r="L177" s="40"/>
      <c r="M177" s="40"/>
      <c r="N177" s="40"/>
      <c r="O177" s="40"/>
      <c r="P177" s="40"/>
      <c r="Q177" s="40"/>
    </row>
    <row r="178" spans="1:17" hidden="1" x14ac:dyDescent="0.25">
      <c r="A178" s="40"/>
      <c r="B178" s="40"/>
      <c r="C178" s="40"/>
      <c r="D178" s="40"/>
      <c r="E178" s="40"/>
      <c r="F178" s="40"/>
      <c r="G178" s="40"/>
      <c r="H178" s="40"/>
      <c r="I178" s="40"/>
      <c r="J178" s="40"/>
      <c r="K178" s="40"/>
      <c r="L178" s="40"/>
      <c r="M178" s="40"/>
      <c r="N178" s="40"/>
      <c r="O178" s="40"/>
      <c r="P178" s="40"/>
      <c r="Q178" s="40"/>
    </row>
    <row r="179" spans="1:17" hidden="1" x14ac:dyDescent="0.25">
      <c r="A179" s="40"/>
      <c r="B179" s="40"/>
      <c r="C179" s="40"/>
      <c r="D179" s="40"/>
      <c r="E179" s="40"/>
      <c r="F179" s="40"/>
      <c r="G179" s="40"/>
      <c r="H179" s="40"/>
      <c r="I179" s="40"/>
      <c r="J179" s="40"/>
      <c r="K179" s="40"/>
      <c r="L179" s="40"/>
      <c r="M179" s="40"/>
      <c r="N179" s="40"/>
      <c r="O179" s="40"/>
      <c r="P179" s="40"/>
      <c r="Q179" s="40"/>
    </row>
    <row r="180" spans="1:17" hidden="1" x14ac:dyDescent="0.25">
      <c r="A180" s="40"/>
      <c r="B180" s="40"/>
      <c r="C180" s="40"/>
      <c r="D180" s="40"/>
      <c r="E180" s="40"/>
      <c r="F180" s="40"/>
      <c r="G180" s="40"/>
      <c r="H180" s="40"/>
      <c r="I180" s="40"/>
      <c r="J180" s="40"/>
      <c r="K180" s="40"/>
      <c r="L180" s="40"/>
      <c r="M180" s="40"/>
      <c r="N180" s="40"/>
      <c r="O180" s="40"/>
      <c r="P180" s="40"/>
      <c r="Q180" s="40"/>
    </row>
    <row r="181" spans="1:17" hidden="1" x14ac:dyDescent="0.25">
      <c r="A181" s="40"/>
      <c r="B181" s="40"/>
      <c r="C181" s="40"/>
      <c r="D181" s="40"/>
      <c r="E181" s="40"/>
      <c r="F181" s="40"/>
      <c r="G181" s="40"/>
      <c r="H181" s="40"/>
      <c r="I181" s="40"/>
      <c r="J181" s="40"/>
      <c r="K181" s="40"/>
      <c r="L181" s="40"/>
      <c r="M181" s="40"/>
      <c r="N181" s="40"/>
      <c r="O181" s="40"/>
      <c r="P181" s="40"/>
      <c r="Q181" s="40"/>
    </row>
    <row r="182" spans="1:17" hidden="1" x14ac:dyDescent="0.25">
      <c r="A182" s="40"/>
      <c r="B182" s="40"/>
      <c r="C182" s="40"/>
      <c r="D182" s="40"/>
      <c r="E182" s="40"/>
      <c r="F182" s="40"/>
      <c r="G182" s="40"/>
      <c r="H182" s="40"/>
      <c r="I182" s="40"/>
      <c r="J182" s="40"/>
      <c r="K182" s="40"/>
      <c r="L182" s="40"/>
      <c r="M182" s="40"/>
      <c r="N182" s="40"/>
      <c r="O182" s="40"/>
      <c r="P182" s="40"/>
      <c r="Q182" s="40"/>
    </row>
    <row r="183" spans="1:17" hidden="1" x14ac:dyDescent="0.25">
      <c r="A183" s="40"/>
      <c r="B183" s="40"/>
      <c r="C183" s="40"/>
      <c r="D183" s="40"/>
      <c r="E183" s="40"/>
      <c r="F183" s="40"/>
      <c r="G183" s="40"/>
      <c r="H183" s="40"/>
      <c r="I183" s="40"/>
      <c r="J183" s="40"/>
      <c r="K183" s="40"/>
      <c r="L183" s="40"/>
      <c r="M183" s="40"/>
      <c r="N183" s="40"/>
      <c r="O183" s="40"/>
      <c r="P183" s="40"/>
      <c r="Q183" s="40"/>
    </row>
    <row r="184" spans="1:17" hidden="1" x14ac:dyDescent="0.25">
      <c r="A184" s="40"/>
      <c r="B184" s="40"/>
      <c r="C184" s="40"/>
      <c r="D184" s="40"/>
      <c r="E184" s="40"/>
      <c r="F184" s="40"/>
      <c r="G184" s="40"/>
      <c r="H184" s="40"/>
      <c r="I184" s="40"/>
      <c r="J184" s="40"/>
      <c r="K184" s="40"/>
      <c r="L184" s="40"/>
      <c r="M184" s="40"/>
      <c r="N184" s="40"/>
      <c r="O184" s="40"/>
      <c r="P184" s="40"/>
      <c r="Q184" s="40"/>
    </row>
    <row r="185" spans="1:17" hidden="1" x14ac:dyDescent="0.25">
      <c r="A185" s="40"/>
      <c r="B185" s="40"/>
      <c r="C185" s="40"/>
      <c r="D185" s="40"/>
      <c r="E185" s="40"/>
      <c r="F185" s="40"/>
      <c r="G185" s="40"/>
      <c r="H185" s="40"/>
      <c r="I185" s="40"/>
      <c r="J185" s="40"/>
      <c r="K185" s="40"/>
      <c r="L185" s="40"/>
      <c r="M185" s="40"/>
      <c r="N185" s="40"/>
      <c r="O185" s="40"/>
      <c r="P185" s="40"/>
      <c r="Q185" s="40"/>
    </row>
    <row r="186" spans="1:17" hidden="1" x14ac:dyDescent="0.25">
      <c r="A186" s="40"/>
      <c r="B186" s="40"/>
      <c r="C186" s="40"/>
      <c r="D186" s="40"/>
      <c r="E186" s="40"/>
      <c r="F186" s="40"/>
      <c r="G186" s="40"/>
      <c r="H186" s="40"/>
      <c r="I186" s="40"/>
      <c r="J186" s="40"/>
      <c r="K186" s="40"/>
      <c r="L186" s="40"/>
      <c r="M186" s="40"/>
      <c r="N186" s="40"/>
      <c r="O186" s="40"/>
      <c r="P186" s="40"/>
      <c r="Q186" s="40"/>
    </row>
    <row r="187" spans="1:17" hidden="1" x14ac:dyDescent="0.25">
      <c r="A187" s="40"/>
      <c r="B187" s="40"/>
      <c r="C187" s="40"/>
      <c r="D187" s="40"/>
      <c r="E187" s="40"/>
      <c r="F187" s="40"/>
      <c r="G187" s="40"/>
      <c r="H187" s="40"/>
      <c r="I187" s="40"/>
      <c r="J187" s="40"/>
      <c r="K187" s="40"/>
      <c r="L187" s="40"/>
      <c r="M187" s="40"/>
      <c r="N187" s="40"/>
      <c r="O187" s="40"/>
      <c r="P187" s="40"/>
      <c r="Q187" s="40"/>
    </row>
    <row r="188" spans="1:17" hidden="1" x14ac:dyDescent="0.25">
      <c r="A188" s="40"/>
      <c r="B188" s="40"/>
      <c r="C188" s="40"/>
      <c r="D188" s="40"/>
      <c r="E188" s="40"/>
      <c r="F188" s="40"/>
      <c r="G188" s="40"/>
      <c r="H188" s="40"/>
      <c r="I188" s="40"/>
      <c r="J188" s="40"/>
      <c r="K188" s="40"/>
      <c r="L188" s="40"/>
      <c r="M188" s="40"/>
      <c r="N188" s="40"/>
      <c r="O188" s="40"/>
      <c r="P188" s="40"/>
      <c r="Q188" s="40"/>
    </row>
    <row r="189" spans="1:17" hidden="1" x14ac:dyDescent="0.25">
      <c r="A189" s="40"/>
      <c r="B189" s="40"/>
      <c r="C189" s="40"/>
      <c r="D189" s="40"/>
      <c r="E189" s="40"/>
      <c r="F189" s="40"/>
      <c r="G189" s="40"/>
      <c r="H189" s="40"/>
      <c r="I189" s="40"/>
      <c r="J189" s="40"/>
      <c r="K189" s="40"/>
      <c r="L189" s="40"/>
      <c r="M189" s="40"/>
      <c r="N189" s="40"/>
      <c r="O189" s="40"/>
      <c r="P189" s="40"/>
      <c r="Q189" s="40"/>
    </row>
    <row r="190" spans="1:17" hidden="1" x14ac:dyDescent="0.25">
      <c r="A190" s="40"/>
      <c r="B190" s="40"/>
      <c r="C190" s="40"/>
      <c r="D190" s="40"/>
      <c r="E190" s="40"/>
      <c r="F190" s="40"/>
      <c r="G190" s="40"/>
      <c r="H190" s="40"/>
      <c r="I190" s="40"/>
      <c r="J190" s="40"/>
      <c r="K190" s="40"/>
      <c r="L190" s="40"/>
      <c r="M190" s="40"/>
      <c r="N190" s="40"/>
      <c r="O190" s="40"/>
      <c r="P190" s="40"/>
      <c r="Q190" s="40"/>
    </row>
    <row r="191" spans="1:17" hidden="1" x14ac:dyDescent="0.25">
      <c r="A191" s="40"/>
      <c r="B191" s="40"/>
      <c r="C191" s="40"/>
      <c r="D191" s="40"/>
      <c r="E191" s="40"/>
      <c r="F191" s="40"/>
      <c r="G191" s="40"/>
      <c r="H191" s="40"/>
      <c r="I191" s="40"/>
      <c r="J191" s="40"/>
      <c r="K191" s="40"/>
      <c r="L191" s="40"/>
      <c r="M191" s="40"/>
      <c r="N191" s="40"/>
      <c r="O191" s="40"/>
      <c r="P191" s="40"/>
      <c r="Q191" s="40"/>
    </row>
    <row r="192" spans="1:17" hidden="1" x14ac:dyDescent="0.25">
      <c r="A192" s="40"/>
      <c r="B192" s="40"/>
      <c r="C192" s="40"/>
      <c r="D192" s="40"/>
      <c r="E192" s="40"/>
      <c r="F192" s="40"/>
      <c r="G192" s="40"/>
      <c r="H192" s="40"/>
      <c r="I192" s="40"/>
      <c r="J192" s="40"/>
      <c r="K192" s="40"/>
      <c r="L192" s="40"/>
      <c r="M192" s="40"/>
      <c r="N192" s="40"/>
      <c r="O192" s="40"/>
      <c r="P192" s="40"/>
      <c r="Q192" s="40"/>
    </row>
    <row r="193" spans="1:17" hidden="1" x14ac:dyDescent="0.25">
      <c r="A193" s="40"/>
      <c r="B193" s="40"/>
      <c r="C193" s="40"/>
      <c r="D193" s="40"/>
      <c r="E193" s="40"/>
      <c r="F193" s="40"/>
      <c r="G193" s="40"/>
      <c r="H193" s="40"/>
      <c r="I193" s="40"/>
      <c r="J193" s="40"/>
      <c r="K193" s="40"/>
      <c r="L193" s="40"/>
      <c r="M193" s="40"/>
      <c r="N193" s="40"/>
      <c r="O193" s="40"/>
      <c r="P193" s="40"/>
      <c r="Q193" s="40"/>
    </row>
    <row r="194" spans="1:17" hidden="1" x14ac:dyDescent="0.25">
      <c r="A194" s="40"/>
      <c r="B194" s="40"/>
      <c r="C194" s="40"/>
      <c r="D194" s="40"/>
      <c r="E194" s="40"/>
      <c r="F194" s="40"/>
      <c r="G194" s="40"/>
      <c r="H194" s="40"/>
      <c r="I194" s="40"/>
      <c r="J194" s="40"/>
      <c r="K194" s="40"/>
      <c r="L194" s="40"/>
      <c r="M194" s="40"/>
      <c r="N194" s="40"/>
      <c r="O194" s="40"/>
      <c r="P194" s="40"/>
      <c r="Q194" s="40"/>
    </row>
    <row r="195" spans="1:17" hidden="1" x14ac:dyDescent="0.25">
      <c r="A195" s="40"/>
      <c r="B195" s="40"/>
      <c r="C195" s="40"/>
      <c r="D195" s="40"/>
      <c r="E195" s="40"/>
      <c r="F195" s="40"/>
      <c r="G195" s="40"/>
      <c r="H195" s="40"/>
      <c r="I195" s="40"/>
      <c r="J195" s="40"/>
      <c r="K195" s="40"/>
      <c r="L195" s="40"/>
      <c r="M195" s="40"/>
      <c r="N195" s="40"/>
      <c r="O195" s="40"/>
      <c r="P195" s="40"/>
      <c r="Q195" s="40"/>
    </row>
    <row r="196" spans="1:17" hidden="1" x14ac:dyDescent="0.25">
      <c r="A196" s="40"/>
      <c r="B196" s="40"/>
      <c r="C196" s="40"/>
      <c r="D196" s="40"/>
      <c r="E196" s="40"/>
      <c r="F196" s="40"/>
      <c r="G196" s="40"/>
      <c r="H196" s="40"/>
      <c r="I196" s="40"/>
      <c r="J196" s="40"/>
      <c r="K196" s="40"/>
      <c r="L196" s="40"/>
      <c r="M196" s="40"/>
      <c r="N196" s="40"/>
      <c r="O196" s="40"/>
      <c r="P196" s="40"/>
      <c r="Q196" s="40"/>
    </row>
    <row r="197" spans="1:17" hidden="1" x14ac:dyDescent="0.25">
      <c r="A197" s="40"/>
      <c r="B197" s="40"/>
      <c r="C197" s="40"/>
      <c r="D197" s="40"/>
      <c r="E197" s="40"/>
      <c r="F197" s="40"/>
      <c r="G197" s="40"/>
      <c r="H197" s="40"/>
      <c r="I197" s="40"/>
      <c r="J197" s="40"/>
      <c r="K197" s="40"/>
      <c r="L197" s="40"/>
      <c r="M197" s="40"/>
      <c r="N197" s="40"/>
      <c r="O197" s="40"/>
      <c r="P197" s="40"/>
      <c r="Q197" s="40"/>
    </row>
    <row r="198" spans="1:17" hidden="1" x14ac:dyDescent="0.25">
      <c r="A198" s="40"/>
      <c r="B198" s="40"/>
      <c r="C198" s="40"/>
      <c r="D198" s="40"/>
      <c r="E198" s="40"/>
      <c r="F198" s="40"/>
      <c r="G198" s="40"/>
      <c r="H198" s="40"/>
      <c r="I198" s="40"/>
      <c r="J198" s="40"/>
      <c r="K198" s="40"/>
      <c r="L198" s="40"/>
      <c r="M198" s="40"/>
      <c r="N198" s="40"/>
      <c r="O198" s="40"/>
      <c r="P198" s="40"/>
      <c r="Q198" s="40"/>
    </row>
    <row r="199" spans="1:17" hidden="1" x14ac:dyDescent="0.25">
      <c r="A199" s="40"/>
      <c r="B199" s="40"/>
      <c r="C199" s="40"/>
      <c r="D199" s="40"/>
      <c r="E199" s="40"/>
      <c r="F199" s="40"/>
      <c r="G199" s="40"/>
      <c r="H199" s="40"/>
      <c r="I199" s="40"/>
      <c r="J199" s="40"/>
      <c r="K199" s="40"/>
      <c r="L199" s="40"/>
      <c r="M199" s="40"/>
      <c r="N199" s="40"/>
      <c r="O199" s="40"/>
      <c r="P199" s="40"/>
      <c r="Q199" s="40"/>
    </row>
    <row r="200" spans="1:17" hidden="1" x14ac:dyDescent="0.25">
      <c r="A200" s="40"/>
      <c r="B200" s="40"/>
      <c r="C200" s="40"/>
      <c r="D200" s="40"/>
      <c r="E200" s="40"/>
      <c r="F200" s="40"/>
      <c r="G200" s="40"/>
      <c r="H200" s="40"/>
      <c r="I200" s="40"/>
      <c r="J200" s="40"/>
      <c r="K200" s="40"/>
      <c r="L200" s="40"/>
      <c r="M200" s="40"/>
      <c r="N200" s="40"/>
      <c r="O200" s="40"/>
      <c r="P200" s="40"/>
      <c r="Q200" s="40"/>
    </row>
    <row r="201" spans="1:17" hidden="1" x14ac:dyDescent="0.25">
      <c r="A201" s="40"/>
      <c r="B201" s="40"/>
      <c r="C201" s="40"/>
      <c r="D201" s="40"/>
      <c r="E201" s="40"/>
      <c r="F201" s="40"/>
      <c r="G201" s="40"/>
      <c r="H201" s="40"/>
      <c r="I201" s="40"/>
      <c r="J201" s="40"/>
      <c r="K201" s="40"/>
      <c r="L201" s="40"/>
      <c r="M201" s="40"/>
      <c r="N201" s="40"/>
      <c r="O201" s="40"/>
      <c r="P201" s="40"/>
      <c r="Q201" s="40"/>
    </row>
    <row r="202" spans="1:17" hidden="1" x14ac:dyDescent="0.25">
      <c r="A202" s="40"/>
      <c r="B202" s="40"/>
      <c r="C202" s="40"/>
      <c r="D202" s="40"/>
      <c r="E202" s="40"/>
      <c r="F202" s="40"/>
      <c r="G202" s="40"/>
      <c r="H202" s="40"/>
      <c r="I202" s="40"/>
      <c r="J202" s="40"/>
      <c r="K202" s="40"/>
      <c r="L202" s="40"/>
      <c r="M202" s="40"/>
      <c r="N202" s="40"/>
      <c r="O202" s="40"/>
      <c r="P202" s="40"/>
      <c r="Q202" s="40"/>
    </row>
    <row r="203" spans="1:17" hidden="1" x14ac:dyDescent="0.25">
      <c r="A203" s="40"/>
      <c r="B203" s="40"/>
      <c r="C203" s="40"/>
      <c r="D203" s="40"/>
      <c r="E203" s="40"/>
      <c r="F203" s="40"/>
      <c r="G203" s="40"/>
      <c r="H203" s="40"/>
      <c r="I203" s="40"/>
      <c r="J203" s="40"/>
      <c r="K203" s="40"/>
      <c r="L203" s="40"/>
      <c r="M203" s="40"/>
      <c r="N203" s="40"/>
      <c r="O203" s="40"/>
      <c r="P203" s="40"/>
      <c r="Q203" s="40"/>
    </row>
    <row r="204" spans="1:17" hidden="1" x14ac:dyDescent="0.25">
      <c r="A204" s="40"/>
      <c r="B204" s="40"/>
      <c r="C204" s="40"/>
      <c r="D204" s="40"/>
      <c r="E204" s="40"/>
      <c r="F204" s="40"/>
      <c r="G204" s="40"/>
      <c r="H204" s="40"/>
      <c r="I204" s="40"/>
      <c r="J204" s="40"/>
      <c r="K204" s="40"/>
      <c r="L204" s="40"/>
      <c r="M204" s="40"/>
      <c r="N204" s="40"/>
      <c r="O204" s="40"/>
      <c r="P204" s="40"/>
      <c r="Q204" s="40"/>
    </row>
    <row r="205" spans="1:17" hidden="1" x14ac:dyDescent="0.25">
      <c r="A205" s="40"/>
      <c r="B205" s="40"/>
      <c r="C205" s="40"/>
      <c r="D205" s="40"/>
      <c r="E205" s="40"/>
      <c r="F205" s="40"/>
      <c r="G205" s="40"/>
      <c r="H205" s="40"/>
      <c r="I205" s="40"/>
      <c r="J205" s="40"/>
      <c r="K205" s="40"/>
      <c r="L205" s="40"/>
      <c r="M205" s="40"/>
      <c r="N205" s="40"/>
      <c r="O205" s="40"/>
      <c r="P205" s="40"/>
      <c r="Q205" s="40"/>
    </row>
    <row r="206" spans="1:17" hidden="1" x14ac:dyDescent="0.25">
      <c r="A206" s="40"/>
      <c r="B206" s="40"/>
      <c r="C206" s="40"/>
      <c r="D206" s="40"/>
      <c r="E206" s="40"/>
      <c r="F206" s="40"/>
      <c r="G206" s="40"/>
      <c r="H206" s="40"/>
      <c r="I206" s="40"/>
      <c r="J206" s="40"/>
      <c r="K206" s="40"/>
      <c r="L206" s="40"/>
      <c r="M206" s="40"/>
      <c r="N206" s="40"/>
      <c r="O206" s="40"/>
      <c r="P206" s="40"/>
      <c r="Q206" s="40"/>
    </row>
    <row r="207" spans="1:17" hidden="1" x14ac:dyDescent="0.25">
      <c r="A207" s="40"/>
      <c r="B207" s="40"/>
      <c r="C207" s="40"/>
      <c r="D207" s="40"/>
      <c r="E207" s="40"/>
      <c r="F207" s="40"/>
      <c r="G207" s="40"/>
      <c r="H207" s="40"/>
      <c r="I207" s="40"/>
      <c r="J207" s="40"/>
      <c r="K207" s="40"/>
      <c r="L207" s="40"/>
      <c r="M207" s="40"/>
      <c r="N207" s="40"/>
      <c r="O207" s="40"/>
      <c r="P207" s="40"/>
      <c r="Q207" s="40"/>
    </row>
    <row r="208" spans="1:17" hidden="1" x14ac:dyDescent="0.25">
      <c r="A208" s="40"/>
      <c r="B208" s="40"/>
      <c r="C208" s="40"/>
      <c r="D208" s="40"/>
      <c r="E208" s="40"/>
      <c r="F208" s="40"/>
      <c r="G208" s="40"/>
      <c r="H208" s="40"/>
      <c r="I208" s="40"/>
      <c r="J208" s="40"/>
      <c r="K208" s="40"/>
      <c r="L208" s="40"/>
      <c r="M208" s="40"/>
      <c r="N208" s="40"/>
      <c r="O208" s="40"/>
      <c r="P208" s="40"/>
      <c r="Q208" s="40"/>
    </row>
    <row r="209" spans="1:17" hidden="1" x14ac:dyDescent="0.25">
      <c r="A209" s="40"/>
      <c r="B209" s="40"/>
      <c r="C209" s="40"/>
      <c r="D209" s="40"/>
      <c r="E209" s="40"/>
      <c r="F209" s="40"/>
      <c r="G209" s="40"/>
      <c r="H209" s="40"/>
      <c r="I209" s="40"/>
      <c r="J209" s="40"/>
      <c r="K209" s="40"/>
      <c r="L209" s="40"/>
      <c r="M209" s="40"/>
      <c r="N209" s="40"/>
      <c r="O209" s="40"/>
      <c r="P209" s="40"/>
      <c r="Q209" s="40"/>
    </row>
    <row r="210" spans="1:17" hidden="1" x14ac:dyDescent="0.25">
      <c r="A210" s="40"/>
      <c r="B210" s="40"/>
      <c r="C210" s="40"/>
      <c r="D210" s="40"/>
      <c r="E210" s="40"/>
      <c r="F210" s="40"/>
      <c r="G210" s="40"/>
      <c r="H210" s="40"/>
      <c r="I210" s="40"/>
      <c r="J210" s="40"/>
      <c r="K210" s="40"/>
      <c r="L210" s="40"/>
      <c r="M210" s="40"/>
      <c r="N210" s="40"/>
      <c r="O210" s="40"/>
      <c r="P210" s="40"/>
      <c r="Q210" s="40"/>
    </row>
    <row r="211" spans="1:17" hidden="1" x14ac:dyDescent="0.25">
      <c r="A211" s="40"/>
      <c r="B211" s="40"/>
      <c r="C211" s="40"/>
      <c r="D211" s="40"/>
      <c r="E211" s="40"/>
      <c r="F211" s="40"/>
      <c r="G211" s="40"/>
      <c r="H211" s="40"/>
      <c r="I211" s="40"/>
      <c r="J211" s="40"/>
      <c r="K211" s="40"/>
      <c r="L211" s="40"/>
      <c r="M211" s="40"/>
      <c r="N211" s="40"/>
      <c r="O211" s="40"/>
      <c r="P211" s="40"/>
      <c r="Q211" s="40"/>
    </row>
    <row r="212" spans="1:17" hidden="1" x14ac:dyDescent="0.25">
      <c r="A212" s="40"/>
      <c r="B212" s="40"/>
      <c r="C212" s="40"/>
      <c r="D212" s="40"/>
      <c r="E212" s="40"/>
      <c r="F212" s="40"/>
      <c r="G212" s="40"/>
      <c r="H212" s="40"/>
      <c r="I212" s="40"/>
      <c r="J212" s="40"/>
      <c r="K212" s="40"/>
      <c r="L212" s="40"/>
      <c r="M212" s="40"/>
      <c r="N212" s="40"/>
      <c r="O212" s="40"/>
      <c r="P212" s="40"/>
      <c r="Q212" s="40"/>
    </row>
    <row r="213" spans="1:17" hidden="1" x14ac:dyDescent="0.25">
      <c r="A213" s="40"/>
      <c r="B213" s="40"/>
      <c r="C213" s="40"/>
      <c r="D213" s="40"/>
      <c r="E213" s="40"/>
      <c r="F213" s="40"/>
      <c r="G213" s="40"/>
      <c r="H213" s="40"/>
      <c r="I213" s="40"/>
      <c r="J213" s="40"/>
      <c r="K213" s="40"/>
      <c r="L213" s="40"/>
      <c r="M213" s="40"/>
      <c r="N213" s="40"/>
      <c r="O213" s="40"/>
      <c r="P213" s="40"/>
      <c r="Q213" s="40"/>
    </row>
    <row r="214" spans="1:17" hidden="1" x14ac:dyDescent="0.25">
      <c r="A214" s="40"/>
      <c r="B214" s="40"/>
      <c r="C214" s="40"/>
      <c r="D214" s="40"/>
      <c r="E214" s="40"/>
      <c r="F214" s="40"/>
      <c r="G214" s="40"/>
      <c r="H214" s="40"/>
      <c r="I214" s="40"/>
      <c r="J214" s="40"/>
      <c r="K214" s="40"/>
      <c r="L214" s="40"/>
      <c r="M214" s="40"/>
      <c r="N214" s="40"/>
      <c r="O214" s="40"/>
      <c r="P214" s="40"/>
      <c r="Q214" s="40"/>
    </row>
    <row r="215" spans="1:17" hidden="1" x14ac:dyDescent="0.25">
      <c r="A215" s="40"/>
      <c r="B215" s="40"/>
      <c r="C215" s="40"/>
      <c r="D215" s="40"/>
      <c r="E215" s="40"/>
      <c r="F215" s="40"/>
      <c r="G215" s="40"/>
      <c r="H215" s="40"/>
      <c r="I215" s="40"/>
      <c r="J215" s="40"/>
      <c r="K215" s="40"/>
      <c r="L215" s="40"/>
      <c r="M215" s="40"/>
      <c r="N215" s="40"/>
      <c r="O215" s="40"/>
      <c r="P215" s="40"/>
      <c r="Q215" s="40"/>
    </row>
    <row r="216" spans="1:17" hidden="1" x14ac:dyDescent="0.25">
      <c r="A216" s="40"/>
      <c r="B216" s="40"/>
      <c r="C216" s="40"/>
      <c r="D216" s="40"/>
      <c r="E216" s="40"/>
      <c r="F216" s="40"/>
      <c r="G216" s="40"/>
      <c r="H216" s="40"/>
      <c r="I216" s="40"/>
      <c r="J216" s="40"/>
      <c r="K216" s="40"/>
      <c r="L216" s="40"/>
      <c r="M216" s="40"/>
      <c r="N216" s="40"/>
      <c r="O216" s="40"/>
      <c r="P216" s="40"/>
      <c r="Q216" s="40"/>
    </row>
    <row r="217" spans="1:17" hidden="1" x14ac:dyDescent="0.25">
      <c r="A217" s="40"/>
      <c r="B217" s="40"/>
      <c r="C217" s="40"/>
      <c r="D217" s="40"/>
      <c r="E217" s="40"/>
      <c r="F217" s="40"/>
      <c r="G217" s="40"/>
      <c r="H217" s="40"/>
      <c r="I217" s="40"/>
      <c r="J217" s="40"/>
      <c r="K217" s="40"/>
      <c r="L217" s="40"/>
      <c r="M217" s="40"/>
      <c r="N217" s="40"/>
      <c r="O217" s="40"/>
      <c r="P217" s="40"/>
      <c r="Q217" s="40"/>
    </row>
    <row r="218" spans="1:17" hidden="1" x14ac:dyDescent="0.25">
      <c r="A218" s="40"/>
      <c r="B218" s="40"/>
      <c r="C218" s="40"/>
      <c r="D218" s="40"/>
      <c r="E218" s="40"/>
      <c r="F218" s="40"/>
      <c r="G218" s="40"/>
      <c r="H218" s="40"/>
      <c r="I218" s="40"/>
      <c r="J218" s="40"/>
      <c r="K218" s="40"/>
      <c r="L218" s="40"/>
      <c r="M218" s="40"/>
      <c r="N218" s="40"/>
      <c r="O218" s="40"/>
      <c r="P218" s="40"/>
      <c r="Q218" s="40"/>
    </row>
    <row r="219" spans="1:17" hidden="1" x14ac:dyDescent="0.25">
      <c r="A219" s="40"/>
      <c r="B219" s="40"/>
      <c r="C219" s="40"/>
      <c r="D219" s="40"/>
      <c r="E219" s="40"/>
      <c r="F219" s="40"/>
      <c r="G219" s="40"/>
      <c r="H219" s="40"/>
      <c r="I219" s="40"/>
      <c r="J219" s="40"/>
      <c r="K219" s="40"/>
      <c r="L219" s="40"/>
      <c r="M219" s="40"/>
      <c r="N219" s="40"/>
      <c r="O219" s="40"/>
      <c r="P219" s="40"/>
      <c r="Q219" s="40"/>
    </row>
    <row r="220" spans="1:17" hidden="1" x14ac:dyDescent="0.25">
      <c r="A220" s="40"/>
      <c r="B220" s="40"/>
      <c r="C220" s="40"/>
      <c r="D220" s="40"/>
      <c r="E220" s="40"/>
      <c r="F220" s="40"/>
      <c r="G220" s="40"/>
      <c r="H220" s="40"/>
      <c r="I220" s="40"/>
      <c r="J220" s="40"/>
      <c r="K220" s="40"/>
      <c r="L220" s="40"/>
      <c r="M220" s="40"/>
      <c r="N220" s="40"/>
      <c r="O220" s="40"/>
      <c r="P220" s="40"/>
      <c r="Q220" s="40"/>
    </row>
    <row r="221" spans="1:17" hidden="1" x14ac:dyDescent="0.25">
      <c r="A221" s="40"/>
      <c r="B221" s="40"/>
      <c r="C221" s="40"/>
      <c r="D221" s="40"/>
      <c r="E221" s="40"/>
      <c r="F221" s="40"/>
      <c r="G221" s="40"/>
      <c r="H221" s="40"/>
      <c r="I221" s="40"/>
      <c r="J221" s="40"/>
      <c r="K221" s="40"/>
      <c r="L221" s="40"/>
      <c r="M221" s="40"/>
      <c r="N221" s="40"/>
      <c r="O221" s="40"/>
      <c r="P221" s="40"/>
      <c r="Q221" s="40"/>
    </row>
    <row r="222" spans="1:17" hidden="1" x14ac:dyDescent="0.25">
      <c r="A222" s="40"/>
      <c r="B222" s="40"/>
      <c r="C222" s="40"/>
      <c r="D222" s="40"/>
      <c r="E222" s="40"/>
      <c r="F222" s="40"/>
      <c r="H222" s="40"/>
      <c r="I222" s="40"/>
      <c r="J222" s="40"/>
      <c r="K222" s="40"/>
      <c r="L222" s="40"/>
      <c r="M222" s="40"/>
      <c r="N222" s="40"/>
      <c r="O222" s="40"/>
      <c r="P222" s="40"/>
      <c r="Q222" s="40"/>
    </row>
    <row r="223" spans="1:17" hidden="1" x14ac:dyDescent="0.25">
      <c r="A223" s="40"/>
      <c r="B223" s="40"/>
      <c r="C223" s="40"/>
      <c r="D223" s="40"/>
      <c r="E223" s="40"/>
      <c r="F223" s="40"/>
      <c r="H223" s="40"/>
      <c r="I223" s="40"/>
      <c r="J223" s="40"/>
      <c r="K223" s="40"/>
      <c r="L223" s="40"/>
      <c r="M223" s="40"/>
      <c r="N223" s="40"/>
      <c r="O223" s="40"/>
      <c r="P223" s="40"/>
      <c r="Q223" s="40"/>
    </row>
    <row r="224" spans="1:17" hidden="1" x14ac:dyDescent="0.25">
      <c r="A224" s="40"/>
      <c r="B224" s="40"/>
      <c r="C224" s="40"/>
      <c r="D224" s="40"/>
      <c r="E224" s="40"/>
      <c r="F224" s="40"/>
      <c r="H224" s="40"/>
      <c r="I224" s="40"/>
      <c r="J224" s="40"/>
      <c r="K224" s="40"/>
      <c r="L224" s="40"/>
      <c r="M224" s="40"/>
      <c r="N224" s="40"/>
      <c r="O224" s="40"/>
      <c r="P224" s="40"/>
      <c r="Q224" s="40"/>
    </row>
    <row r="225" spans="1:17" hidden="1" x14ac:dyDescent="0.25">
      <c r="A225" s="40"/>
      <c r="B225" s="40"/>
      <c r="C225" s="40"/>
      <c r="D225" s="40"/>
      <c r="E225" s="40"/>
      <c r="F225" s="40"/>
      <c r="H225" s="40"/>
      <c r="I225" s="40"/>
      <c r="J225" s="40"/>
      <c r="K225" s="40"/>
      <c r="L225" s="40"/>
      <c r="M225" s="40"/>
      <c r="N225" s="40"/>
      <c r="O225" s="40"/>
      <c r="P225" s="40"/>
      <c r="Q225" s="40"/>
    </row>
    <row r="226" spans="1:17" hidden="1" x14ac:dyDescent="0.25">
      <c r="A226" s="40"/>
      <c r="B226" s="40"/>
      <c r="C226" s="40"/>
      <c r="D226" s="40"/>
      <c r="E226" s="40"/>
      <c r="F226" s="40"/>
      <c r="H226" s="40"/>
      <c r="I226" s="40"/>
      <c r="J226" s="40"/>
      <c r="K226" s="40"/>
      <c r="L226" s="40"/>
      <c r="M226" s="40"/>
      <c r="N226" s="40"/>
      <c r="O226" s="40"/>
      <c r="P226" s="40"/>
      <c r="Q226" s="40"/>
    </row>
    <row r="227" spans="1:17" hidden="1" x14ac:dyDescent="0.25">
      <c r="A227" s="40"/>
      <c r="B227" s="40"/>
      <c r="C227" s="40"/>
      <c r="D227" s="40"/>
      <c r="E227" s="40"/>
      <c r="F227" s="40"/>
      <c r="H227" s="40"/>
      <c r="I227" s="40"/>
      <c r="J227" s="40"/>
      <c r="K227" s="40"/>
      <c r="L227" s="40"/>
      <c r="M227" s="40"/>
      <c r="N227" s="40"/>
      <c r="O227" s="40"/>
      <c r="P227" s="40"/>
      <c r="Q227" s="40"/>
    </row>
    <row r="228" spans="1:17" hidden="1" x14ac:dyDescent="0.25">
      <c r="A228" s="40"/>
      <c r="B228" s="40"/>
      <c r="C228" s="40"/>
      <c r="D228" s="40"/>
      <c r="E228" s="40"/>
      <c r="F228" s="40"/>
      <c r="H228" s="40"/>
      <c r="I228" s="40"/>
      <c r="J228" s="40"/>
      <c r="K228" s="40"/>
      <c r="L228" s="40"/>
      <c r="M228" s="40"/>
      <c r="N228" s="40"/>
      <c r="O228" s="40"/>
      <c r="P228" s="40"/>
      <c r="Q228" s="40"/>
    </row>
    <row r="229" spans="1:17" hidden="1" x14ac:dyDescent="0.25">
      <c r="A229" s="40"/>
      <c r="B229" s="40"/>
      <c r="C229" s="40"/>
      <c r="D229" s="40"/>
      <c r="E229" s="40"/>
      <c r="F229" s="40"/>
      <c r="H229" s="40"/>
      <c r="I229" s="40"/>
      <c r="J229" s="40"/>
      <c r="K229" s="40"/>
      <c r="L229" s="40"/>
      <c r="M229" s="40"/>
      <c r="N229" s="40"/>
      <c r="O229" s="40"/>
      <c r="P229" s="40"/>
      <c r="Q229" s="40"/>
    </row>
    <row r="230" spans="1:17" hidden="1" x14ac:dyDescent="0.25">
      <c r="A230" s="40"/>
      <c r="B230" s="40"/>
      <c r="C230" s="40"/>
      <c r="D230" s="40"/>
      <c r="E230" s="40"/>
      <c r="F230" s="40"/>
      <c r="H230" s="40"/>
      <c r="I230" s="40"/>
      <c r="J230" s="40"/>
      <c r="K230" s="40"/>
      <c r="L230" s="40"/>
      <c r="M230" s="40"/>
      <c r="N230" s="40"/>
      <c r="O230" s="40"/>
      <c r="P230" s="40"/>
      <c r="Q230" s="40"/>
    </row>
    <row r="231" spans="1:17" hidden="1" x14ac:dyDescent="0.25">
      <c r="A231" s="40"/>
      <c r="B231" s="40"/>
      <c r="C231" s="40"/>
      <c r="D231" s="40"/>
      <c r="E231" s="40"/>
      <c r="F231" s="40"/>
      <c r="H231" s="40"/>
      <c r="I231" s="40"/>
      <c r="J231" s="40"/>
      <c r="K231" s="40"/>
      <c r="L231" s="40"/>
      <c r="M231" s="40"/>
      <c r="N231" s="40"/>
      <c r="O231" s="40"/>
      <c r="P231" s="40"/>
      <c r="Q231" s="40"/>
    </row>
    <row r="232" spans="1:17" hidden="1" x14ac:dyDescent="0.25">
      <c r="A232" s="40"/>
      <c r="B232" s="40"/>
      <c r="C232" s="40"/>
      <c r="D232" s="40"/>
      <c r="E232" s="40"/>
      <c r="F232" s="40"/>
      <c r="H232" s="40"/>
      <c r="I232" s="40"/>
      <c r="J232" s="40"/>
      <c r="K232" s="40"/>
      <c r="L232" s="40"/>
      <c r="M232" s="40"/>
      <c r="N232" s="40"/>
      <c r="O232" s="40"/>
      <c r="P232" s="40"/>
      <c r="Q232" s="40"/>
    </row>
    <row r="233" spans="1:17" hidden="1" x14ac:dyDescent="0.25">
      <c r="A233" s="40"/>
      <c r="B233" s="40"/>
      <c r="C233" s="40"/>
      <c r="D233" s="40"/>
      <c r="E233" s="40"/>
      <c r="F233" s="40"/>
      <c r="H233" s="40"/>
      <c r="I233" s="40"/>
      <c r="J233" s="40"/>
      <c r="K233" s="40"/>
      <c r="L233" s="40"/>
      <c r="M233" s="40"/>
      <c r="N233" s="40"/>
      <c r="O233" s="40"/>
      <c r="P233" s="40"/>
      <c r="Q233" s="40"/>
    </row>
    <row r="234" spans="1:17" hidden="1" x14ac:dyDescent="0.25">
      <c r="A234" s="40"/>
      <c r="B234" s="40"/>
      <c r="C234" s="40"/>
      <c r="D234" s="40"/>
      <c r="E234" s="40"/>
      <c r="F234" s="40"/>
      <c r="H234" s="40"/>
      <c r="I234" s="40"/>
      <c r="J234" s="40"/>
      <c r="K234" s="40"/>
      <c r="L234" s="40"/>
      <c r="M234" s="40"/>
      <c r="N234" s="40"/>
      <c r="O234" s="40"/>
      <c r="P234" s="40"/>
      <c r="Q234" s="40"/>
    </row>
    <row r="235" spans="1:17" hidden="1" x14ac:dyDescent="0.25">
      <c r="A235" s="40"/>
      <c r="B235" s="40"/>
      <c r="C235" s="40"/>
      <c r="D235" s="40"/>
      <c r="E235" s="40"/>
      <c r="F235" s="40"/>
      <c r="H235" s="40"/>
      <c r="I235" s="40"/>
      <c r="J235" s="40"/>
      <c r="K235" s="40"/>
      <c r="L235" s="40"/>
      <c r="M235" s="40"/>
      <c r="N235" s="40"/>
      <c r="O235" s="40"/>
      <c r="P235" s="40"/>
      <c r="Q235" s="40"/>
    </row>
    <row r="236" spans="1:17" hidden="1" x14ac:dyDescent="0.25">
      <c r="A236" s="40"/>
      <c r="B236" s="40"/>
      <c r="C236" s="40"/>
      <c r="D236" s="40"/>
      <c r="E236" s="40"/>
      <c r="F236" s="40"/>
      <c r="H236" s="40"/>
      <c r="I236" s="40"/>
      <c r="J236" s="40"/>
      <c r="K236" s="40"/>
      <c r="L236" s="40"/>
      <c r="M236" s="40"/>
      <c r="N236" s="40"/>
      <c r="O236" s="40"/>
      <c r="P236" s="40"/>
      <c r="Q236" s="40"/>
    </row>
    <row r="237" spans="1:17" hidden="1" x14ac:dyDescent="0.25">
      <c r="A237" s="40"/>
      <c r="B237" s="40"/>
      <c r="C237" s="40"/>
      <c r="D237" s="40"/>
      <c r="E237" s="40"/>
      <c r="F237" s="40"/>
      <c r="H237" s="40"/>
      <c r="I237" s="40"/>
      <c r="J237" s="40"/>
      <c r="K237" s="40"/>
      <c r="L237" s="40"/>
      <c r="M237" s="40"/>
      <c r="N237" s="40"/>
      <c r="O237" s="40"/>
      <c r="P237" s="40"/>
      <c r="Q237" s="40"/>
    </row>
    <row r="238" spans="1:17" hidden="1" x14ac:dyDescent="0.25">
      <c r="A238" s="40"/>
      <c r="B238" s="40"/>
      <c r="C238" s="40"/>
      <c r="D238" s="40"/>
      <c r="E238" s="40"/>
      <c r="F238" s="40"/>
      <c r="H238" s="40"/>
      <c r="I238" s="40"/>
      <c r="J238" s="40"/>
      <c r="K238" s="40"/>
      <c r="L238" s="40"/>
      <c r="M238" s="40"/>
      <c r="N238" s="40"/>
      <c r="O238" s="40"/>
      <c r="P238" s="40"/>
      <c r="Q238" s="40"/>
    </row>
    <row r="239" spans="1:17" hidden="1" x14ac:dyDescent="0.25">
      <c r="A239" s="40"/>
      <c r="B239" s="40"/>
      <c r="C239" s="40"/>
      <c r="D239" s="40"/>
      <c r="E239" s="40"/>
      <c r="F239" s="40"/>
      <c r="H239" s="40"/>
      <c r="I239" s="40"/>
      <c r="J239" s="40"/>
      <c r="K239" s="40"/>
      <c r="L239" s="40"/>
      <c r="M239" s="40"/>
      <c r="N239" s="40"/>
      <c r="O239" s="40"/>
      <c r="P239" s="40"/>
      <c r="Q239" s="40"/>
    </row>
    <row r="240" spans="1:17" hidden="1" x14ac:dyDescent="0.25">
      <c r="A240" s="40"/>
      <c r="B240" s="40"/>
      <c r="C240" s="40"/>
      <c r="D240" s="40"/>
      <c r="E240" s="40"/>
      <c r="F240" s="40"/>
      <c r="H240" s="40"/>
      <c r="I240" s="40"/>
      <c r="J240" s="40"/>
      <c r="K240" s="40"/>
      <c r="L240" s="40"/>
      <c r="M240" s="40"/>
      <c r="N240" s="40"/>
      <c r="O240" s="40"/>
      <c r="P240" s="40"/>
      <c r="Q240" s="40"/>
    </row>
    <row r="241" spans="1:17" hidden="1" x14ac:dyDescent="0.25">
      <c r="A241" s="40"/>
      <c r="B241" s="40"/>
      <c r="C241" s="40"/>
      <c r="D241" s="40"/>
      <c r="E241" s="40"/>
      <c r="F241" s="40"/>
      <c r="H241" s="40"/>
      <c r="I241" s="40"/>
      <c r="J241" s="40"/>
      <c r="K241" s="40"/>
      <c r="L241" s="40"/>
      <c r="M241" s="40"/>
      <c r="N241" s="40"/>
      <c r="O241" s="40"/>
      <c r="P241" s="40"/>
      <c r="Q241" s="40"/>
    </row>
    <row r="242" spans="1:17" hidden="1" x14ac:dyDescent="0.25">
      <c r="A242" s="40"/>
      <c r="B242" s="40"/>
      <c r="C242" s="40"/>
      <c r="D242" s="40"/>
      <c r="E242" s="40"/>
      <c r="F242" s="40"/>
      <c r="H242" s="40"/>
      <c r="I242" s="40"/>
      <c r="J242" s="40"/>
      <c r="K242" s="40"/>
      <c r="L242" s="40"/>
      <c r="M242" s="40"/>
      <c r="N242" s="40"/>
      <c r="O242" s="40"/>
      <c r="P242" s="40"/>
      <c r="Q242" s="40"/>
    </row>
    <row r="243" spans="1:17" hidden="1" x14ac:dyDescent="0.25">
      <c r="A243" s="40"/>
      <c r="B243" s="40"/>
      <c r="C243" s="40"/>
      <c r="D243" s="40"/>
      <c r="E243" s="40"/>
      <c r="F243" s="40"/>
      <c r="H243" s="40"/>
      <c r="I243" s="40"/>
      <c r="J243" s="40"/>
      <c r="K243" s="40"/>
      <c r="L243" s="40"/>
      <c r="M243" s="40"/>
      <c r="N243" s="40"/>
      <c r="O243" s="40"/>
      <c r="P243" s="40"/>
      <c r="Q243" s="40"/>
    </row>
    <row r="244" spans="1:17" hidden="1" x14ac:dyDescent="0.25">
      <c r="A244" s="40"/>
      <c r="B244" s="40"/>
      <c r="C244" s="40"/>
      <c r="D244" s="40"/>
      <c r="E244" s="40"/>
      <c r="F244" s="40"/>
      <c r="H244" s="40"/>
      <c r="I244" s="40"/>
      <c r="J244" s="40"/>
      <c r="K244" s="40"/>
      <c r="L244" s="40"/>
      <c r="M244" s="40"/>
      <c r="N244" s="40"/>
      <c r="O244" s="40"/>
      <c r="P244" s="40"/>
      <c r="Q244" s="40"/>
    </row>
    <row r="245" spans="1:17" hidden="1" x14ac:dyDescent="0.25">
      <c r="A245" s="40"/>
      <c r="B245" s="40"/>
      <c r="C245" s="40"/>
      <c r="D245" s="40"/>
      <c r="E245" s="40"/>
      <c r="F245" s="40"/>
      <c r="H245" s="40"/>
      <c r="I245" s="40"/>
      <c r="J245" s="40"/>
      <c r="K245" s="40"/>
      <c r="L245" s="40"/>
      <c r="M245" s="40"/>
      <c r="N245" s="40"/>
      <c r="O245" s="40"/>
      <c r="P245" s="40"/>
      <c r="Q245" s="40"/>
    </row>
    <row r="246" spans="1:17" hidden="1" x14ac:dyDescent="0.25">
      <c r="A246" s="40"/>
      <c r="B246" s="40"/>
      <c r="C246" s="40"/>
      <c r="D246" s="40"/>
      <c r="E246" s="40"/>
      <c r="F246" s="40"/>
      <c r="H246" s="40"/>
      <c r="K246" s="40"/>
      <c r="L246" s="40"/>
      <c r="M246" s="40"/>
      <c r="N246" s="40"/>
      <c r="O246" s="40"/>
      <c r="P246" s="40"/>
      <c r="Q246" s="40"/>
    </row>
    <row r="247" spans="1:17" hidden="1" x14ac:dyDescent="0.25">
      <c r="A247" s="40"/>
      <c r="B247" s="40"/>
      <c r="C247" s="40"/>
      <c r="D247" s="40"/>
      <c r="E247" s="40"/>
      <c r="F247" s="40"/>
      <c r="H247" s="40"/>
      <c r="K247" s="40"/>
      <c r="L247" s="40"/>
      <c r="M247" s="40"/>
      <c r="N247" s="40"/>
      <c r="O247" s="40"/>
      <c r="P247" s="40"/>
      <c r="Q247" s="40"/>
    </row>
    <row r="248" spans="1:17" hidden="1" x14ac:dyDescent="0.25">
      <c r="A248" s="40"/>
      <c r="B248" s="40"/>
      <c r="C248" s="40"/>
      <c r="D248" s="40"/>
      <c r="E248" s="40"/>
      <c r="F248" s="40"/>
      <c r="H248" s="40"/>
      <c r="K248" s="40"/>
      <c r="L248" s="40"/>
      <c r="M248" s="40"/>
      <c r="N248" s="40"/>
      <c r="O248" s="40"/>
      <c r="P248" s="40"/>
      <c r="Q248" s="40"/>
    </row>
    <row r="249" spans="1:17" hidden="1" x14ac:dyDescent="0.25">
      <c r="A249" s="40"/>
      <c r="B249" s="40"/>
      <c r="C249" s="40"/>
      <c r="D249" s="40"/>
      <c r="E249" s="40"/>
      <c r="F249" s="40"/>
      <c r="H249" s="40"/>
      <c r="K249" s="40"/>
      <c r="L249" s="40"/>
      <c r="M249" s="40"/>
      <c r="N249" s="40"/>
      <c r="O249" s="40"/>
      <c r="P249" s="40"/>
      <c r="Q249" s="40"/>
    </row>
    <row r="250" spans="1:17" hidden="1" x14ac:dyDescent="0.25">
      <c r="A250" s="40"/>
      <c r="B250" s="40"/>
      <c r="C250" s="40"/>
      <c r="D250" s="40"/>
      <c r="E250" s="40"/>
      <c r="F250" s="40"/>
      <c r="H250" s="40"/>
      <c r="K250" s="40"/>
      <c r="L250" s="40"/>
      <c r="M250" s="40"/>
      <c r="N250" s="40"/>
      <c r="O250" s="40"/>
      <c r="P250" s="40"/>
      <c r="Q250" s="40"/>
    </row>
    <row r="251" spans="1:17" hidden="1" x14ac:dyDescent="0.25">
      <c r="A251" s="40"/>
      <c r="B251" s="40"/>
      <c r="C251" s="40"/>
      <c r="D251" s="40"/>
      <c r="E251" s="40"/>
      <c r="F251" s="40"/>
      <c r="H251" s="40"/>
      <c r="K251" s="40"/>
      <c r="L251" s="40"/>
      <c r="M251" s="40"/>
      <c r="N251" s="40"/>
      <c r="O251" s="40"/>
      <c r="P251" s="40"/>
      <c r="Q251" s="40"/>
    </row>
    <row r="252" spans="1:17" hidden="1" x14ac:dyDescent="0.25">
      <c r="A252" s="40"/>
      <c r="B252" s="40"/>
      <c r="C252" s="40"/>
      <c r="D252" s="40"/>
      <c r="E252" s="40"/>
      <c r="F252" s="40"/>
      <c r="H252" s="40"/>
      <c r="K252" s="40"/>
      <c r="L252" s="40"/>
      <c r="M252" s="40"/>
      <c r="N252" s="40"/>
      <c r="O252" s="40"/>
      <c r="P252" s="40"/>
      <c r="Q252" s="40"/>
    </row>
    <row r="253" spans="1:17" hidden="1" x14ac:dyDescent="0.25">
      <c r="A253" s="40"/>
      <c r="B253" s="40"/>
      <c r="C253" s="40"/>
      <c r="D253" s="40"/>
      <c r="E253" s="40"/>
      <c r="F253" s="40"/>
      <c r="H253" s="40"/>
      <c r="K253" s="40"/>
      <c r="L253" s="40"/>
      <c r="M253" s="40"/>
      <c r="N253" s="40"/>
      <c r="O253" s="40"/>
      <c r="P253" s="40"/>
      <c r="Q253" s="40"/>
    </row>
    <row r="254" spans="1:17" hidden="1" x14ac:dyDescent="0.25">
      <c r="A254" s="40"/>
      <c r="B254" s="40"/>
      <c r="C254" s="40"/>
      <c r="D254" s="40"/>
      <c r="E254" s="40"/>
      <c r="F254" s="40"/>
      <c r="H254" s="40"/>
      <c r="K254" s="40"/>
      <c r="L254" s="40"/>
      <c r="M254" s="40"/>
      <c r="N254" s="40"/>
      <c r="O254" s="40"/>
      <c r="P254" s="40"/>
      <c r="Q254" s="40"/>
    </row>
    <row r="255" spans="1:17" hidden="1" x14ac:dyDescent="0.25">
      <c r="A255" s="40"/>
      <c r="B255" s="40"/>
      <c r="C255" s="40"/>
      <c r="D255" s="40"/>
      <c r="E255" s="40"/>
      <c r="F255" s="40"/>
      <c r="H255" s="40"/>
      <c r="K255" s="40"/>
      <c r="L255" s="40"/>
      <c r="M255" s="40"/>
      <c r="N255" s="40"/>
      <c r="O255" s="40"/>
      <c r="P255" s="40"/>
      <c r="Q255" s="40"/>
    </row>
    <row r="256" spans="1:17" hidden="1" x14ac:dyDescent="0.25">
      <c r="A256" s="40"/>
      <c r="B256" s="40"/>
      <c r="C256" s="40"/>
      <c r="D256" s="40"/>
      <c r="E256" s="40"/>
      <c r="F256" s="40"/>
      <c r="H256" s="40"/>
      <c r="K256" s="40"/>
      <c r="L256" s="40"/>
      <c r="M256" s="40"/>
      <c r="N256" s="40"/>
      <c r="O256" s="40"/>
      <c r="P256" s="40"/>
      <c r="Q256" s="40"/>
    </row>
    <row r="257" spans="1:17" hidden="1" x14ac:dyDescent="0.25">
      <c r="A257" s="40"/>
      <c r="B257" s="40"/>
      <c r="C257" s="40"/>
      <c r="D257" s="40"/>
      <c r="E257" s="40"/>
      <c r="F257" s="40"/>
      <c r="H257" s="40"/>
      <c r="K257" s="40"/>
      <c r="L257" s="40"/>
      <c r="M257" s="40"/>
      <c r="N257" s="40"/>
      <c r="O257" s="40"/>
      <c r="P257" s="40"/>
      <c r="Q257" s="40"/>
    </row>
    <row r="258" spans="1:17" hidden="1" x14ac:dyDescent="0.25">
      <c r="A258" s="40"/>
      <c r="B258" s="40"/>
      <c r="C258" s="40"/>
      <c r="D258" s="40"/>
      <c r="E258" s="40"/>
      <c r="F258" s="40"/>
      <c r="H258" s="40"/>
      <c r="K258" s="40"/>
      <c r="L258" s="40"/>
      <c r="M258" s="40"/>
      <c r="N258" s="40"/>
      <c r="O258" s="40"/>
      <c r="P258" s="40"/>
      <c r="Q258" s="40"/>
    </row>
    <row r="259" spans="1:17" hidden="1" x14ac:dyDescent="0.25">
      <c r="A259" s="40"/>
    </row>
    <row r="260" spans="1:17" hidden="1" x14ac:dyDescent="0.25">
      <c r="A260" s="40"/>
    </row>
    <row r="261" spans="1:17" hidden="1" x14ac:dyDescent="0.25">
      <c r="A261" s="40"/>
    </row>
    <row r="262" spans="1:17" hidden="1" x14ac:dyDescent="0.25">
      <c r="A262" s="40"/>
    </row>
    <row r="263" spans="1:17" hidden="1" x14ac:dyDescent="0.25">
      <c r="A263" s="40"/>
    </row>
    <row r="264" spans="1:17" hidden="1" x14ac:dyDescent="0.25">
      <c r="A264" s="40"/>
    </row>
    <row r="265" spans="1:17" hidden="1" x14ac:dyDescent="0.25">
      <c r="A265" s="40"/>
    </row>
    <row r="266" spans="1:17" hidden="1" x14ac:dyDescent="0.25">
      <c r="A266" s="40"/>
    </row>
    <row r="267" spans="1:17" hidden="1" x14ac:dyDescent="0.25">
      <c r="A267" s="40"/>
    </row>
    <row r="268" spans="1:17" hidden="1" x14ac:dyDescent="0.25">
      <c r="A268" s="40"/>
    </row>
    <row r="269" spans="1:17" hidden="1" x14ac:dyDescent="0.25">
      <c r="A269" s="40"/>
    </row>
    <row r="270" spans="1:17" hidden="1" x14ac:dyDescent="0.25">
      <c r="A270" s="40"/>
    </row>
    <row r="271" spans="1:17" hidden="1" x14ac:dyDescent="0.25">
      <c r="A271" s="40"/>
    </row>
    <row r="272" spans="1:17" hidden="1" x14ac:dyDescent="0.25">
      <c r="A272" s="40"/>
    </row>
    <row r="273" spans="1:1" hidden="1" x14ac:dyDescent="0.25">
      <c r="A273" s="40"/>
    </row>
    <row r="274" spans="1:1" hidden="1" x14ac:dyDescent="0.25">
      <c r="A274" s="40"/>
    </row>
    <row r="275" spans="1:1" hidden="1" x14ac:dyDescent="0.25">
      <c r="A275" s="40"/>
    </row>
    <row r="276" spans="1:1" hidden="1" x14ac:dyDescent="0.25">
      <c r="A276" s="40"/>
    </row>
    <row r="277" spans="1:1" hidden="1" x14ac:dyDescent="0.25">
      <c r="A277" s="40"/>
    </row>
    <row r="278" spans="1:1" hidden="1" x14ac:dyDescent="0.25">
      <c r="A278" s="40"/>
    </row>
    <row r="279" spans="1:1" hidden="1" x14ac:dyDescent="0.25">
      <c r="A279" s="40"/>
    </row>
    <row r="280" spans="1:1" hidden="1" x14ac:dyDescent="0.25">
      <c r="A280" s="40"/>
    </row>
    <row r="281" spans="1:1" hidden="1" x14ac:dyDescent="0.25">
      <c r="A281" s="40"/>
    </row>
    <row r="282" spans="1:1" hidden="1" x14ac:dyDescent="0.25">
      <c r="A282" s="40"/>
    </row>
    <row r="283" spans="1:1" hidden="1" x14ac:dyDescent="0.25">
      <c r="A283" s="40"/>
    </row>
    <row r="284" spans="1:1" hidden="1" x14ac:dyDescent="0.25">
      <c r="A284" s="40"/>
    </row>
    <row r="285" spans="1:1" hidden="1" x14ac:dyDescent="0.25">
      <c r="A285" s="40"/>
    </row>
    <row r="286" spans="1:1" hidden="1" x14ac:dyDescent="0.25">
      <c r="A286" s="40"/>
    </row>
    <row r="287" spans="1:1" hidden="1" x14ac:dyDescent="0.25">
      <c r="A287" s="40"/>
    </row>
    <row r="288" spans="1:1" hidden="1" x14ac:dyDescent="0.25">
      <c r="A288" s="40"/>
    </row>
    <row r="289" spans="1:1" hidden="1" x14ac:dyDescent="0.25">
      <c r="A289" s="40"/>
    </row>
    <row r="290" spans="1:1" hidden="1" x14ac:dyDescent="0.25">
      <c r="A290" s="40"/>
    </row>
    <row r="291" spans="1:1" hidden="1" x14ac:dyDescent="0.25">
      <c r="A291" s="40"/>
    </row>
    <row r="292" spans="1:1" hidden="1" x14ac:dyDescent="0.25">
      <c r="A292" s="40"/>
    </row>
    <row r="293" spans="1:1" hidden="1" x14ac:dyDescent="0.25">
      <c r="A293" s="40"/>
    </row>
    <row r="294" spans="1:1" hidden="1" x14ac:dyDescent="0.25">
      <c r="A294" s="40"/>
    </row>
    <row r="295" spans="1:1" hidden="1" x14ac:dyDescent="0.25">
      <c r="A295" s="40"/>
    </row>
    <row r="296" spans="1:1" hidden="1" x14ac:dyDescent="0.25">
      <c r="A296" s="40"/>
    </row>
    <row r="297" spans="1:1" hidden="1" x14ac:dyDescent="0.25">
      <c r="A297" s="40"/>
    </row>
    <row r="298" spans="1:1" hidden="1" x14ac:dyDescent="0.25">
      <c r="A298" s="40"/>
    </row>
    <row r="299" spans="1:1" x14ac:dyDescent="0.25"/>
    <row r="300" spans="1:1" x14ac:dyDescent="0.25"/>
    <row r="301" spans="1:1" x14ac:dyDescent="0.25"/>
    <row r="302" spans="1:1" x14ac:dyDescent="0.25"/>
    <row r="303" spans="1:1" x14ac:dyDescent="0.25"/>
    <row r="304" spans="1:1" x14ac:dyDescent="0.25"/>
    <row r="305" x14ac:dyDescent="0.25"/>
    <row r="306" x14ac:dyDescent="0.25"/>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activeCell="C11" sqref="C11"/>
    </sheetView>
  </sheetViews>
  <sheetFormatPr defaultColWidth="0" defaultRowHeight="15" zeroHeight="1" x14ac:dyDescent="0.25"/>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75" thickBot="1" x14ac:dyDescent="0.3"/>
    <row r="2" spans="1:43" ht="19.5" thickBot="1" x14ac:dyDescent="0.3">
      <c r="D2" s="896" t="str">
        <f>IF(Start!$F$12="","",Start!$F$12)</f>
        <v>16-18 Oatlands Drive</v>
      </c>
      <c r="E2" s="897"/>
      <c r="F2" s="898"/>
    </row>
    <row r="3" spans="1:43" ht="15.6" customHeight="1" x14ac:dyDescent="0.25">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3">
      <c r="D4" s="893"/>
      <c r="E4" s="894"/>
      <c r="F4" s="895"/>
      <c r="AF4" s="47" t="s">
        <v>187</v>
      </c>
      <c r="AG4" s="47" t="s">
        <v>187</v>
      </c>
      <c r="AH4" s="47" t="s">
        <v>187</v>
      </c>
      <c r="AI4" s="47" t="s">
        <v>187</v>
      </c>
      <c r="AJ4" s="47" t="s">
        <v>187</v>
      </c>
      <c r="AK4" s="47" t="s">
        <v>187</v>
      </c>
      <c r="AL4" s="47" t="s">
        <v>187</v>
      </c>
      <c r="AM4" s="47" t="s">
        <v>187</v>
      </c>
      <c r="AN4" s="47" t="s">
        <v>187</v>
      </c>
    </row>
    <row r="5" spans="1:43" ht="15.6" customHeight="1" x14ac:dyDescent="0.25"/>
    <row r="6" spans="1:43" ht="16.149999999999999" customHeight="1" x14ac:dyDescent="0.25"/>
    <row r="7" spans="1:43" x14ac:dyDescent="0.25"/>
    <row r="8" spans="1:43" ht="31.15" customHeight="1" thickBot="1" x14ac:dyDescent="0.3">
      <c r="D8" s="48"/>
      <c r="E8" s="48"/>
      <c r="F8" s="48"/>
    </row>
    <row r="9" spans="1:43" ht="29.45" customHeight="1" thickBot="1" x14ac:dyDescent="0.3">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30" x14ac:dyDescent="0.25">
      <c r="A11" s="47" t="str">
        <f>IFERROR(INDEX('G-1 All Habitats'!$AG$3:$AG$15,MATCH(E11,'G-1 All Habitats'!$AF$3:$AF$15,0)),"")</f>
        <v>Urban</v>
      </c>
      <c r="B11" s="47" t="str">
        <f>IFERROR(INDEX('G-8 Condition Look up'!$I$4:$I$130,MATCH(G11,'G-8 Condition Look up'!$A$4:$A$130,0)),"")</f>
        <v>Cond1</v>
      </c>
      <c r="D11" s="67">
        <v>1</v>
      </c>
      <c r="E11" s="68" t="s">
        <v>74</v>
      </c>
      <c r="F11" s="68" t="s">
        <v>638</v>
      </c>
      <c r="G11" s="69" t="str">
        <f>IFERROR(INDEX('G-1 All Habitats'!$B$3:$B$129,MATCH(F11,'G-1 All Habitats'!$A$3:$A$129,0)),"")</f>
        <v>Urban - Vegetated garden</v>
      </c>
      <c r="H11" s="70">
        <v>0.22</v>
      </c>
      <c r="I11" s="497" t="str">
        <f>IF(G11="","",VLOOKUP(G11,'G-1 All Habitats'!$B$2:$M$129,10,FALSE))</f>
        <v>Low</v>
      </c>
      <c r="J11" s="498">
        <f>IFERROR(VLOOKUP(I11,'G-1 All Habitats'!$V$3:$W$7,2,FALSE),"")</f>
        <v>2</v>
      </c>
      <c r="K11" s="71" t="s">
        <v>403</v>
      </c>
      <c r="L11" s="498">
        <f>IFERROR(INDEX('G-8 Condition Look up'!$A$3:$H$130,MATCH(G11,'G-8 Condition Look up'!$A$3:$A$130,0),MATCH(K11,'G-8 Condition Look up'!$A$3:$H$3,0)),"")</f>
        <v>1</v>
      </c>
      <c r="M11" s="71" t="s">
        <v>921</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0.44</v>
      </c>
      <c r="R11" s="50"/>
      <c r="S11" s="71"/>
      <c r="T11" s="72"/>
      <c r="U11" s="510">
        <f>IFERROR(S11*J11*L11*O11,"")</f>
        <v>0</v>
      </c>
      <c r="V11" s="510">
        <f>IFERROR(T11*J11*L11*O11,"")</f>
        <v>0</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0.22</v>
      </c>
      <c r="X11" s="514">
        <f>IFERROR(IF(H11="","",IF(H11-S11-T11=0&lt;0,"Error in Areas ▲",IF(S11+T11&gt;H11,"Error in Areas ▲",IF(AND(P11='G-1 All Habitats'!$X$3,Y11="Yes"),"Alternative Compensation ✓",IF(W11=0,0,IF(P11='G-1 All Habitats'!$X$3,"Unacceptable Loss ▲",Q11-U11-V11)))))),"Check Data ▲")</f>
        <v>0.44</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f t="array" ref="AK11">IFERROR(INDEX($AI$11:$AI$259, MATCH(0, IF(TRUE=$AF$11:$AF$259, COUNTIF($AK$10:$AK10, $AI$11:$AI$259), ""), 0)),"")</f>
        <v>3</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ht="30" x14ac:dyDescent="0.25">
      <c r="A12" s="47" t="str">
        <f>IFERROR(INDEX('G-1 All Habitats'!$AG$3:$AG$15,MATCH(E12,'G-1 All Habitats'!$AF$3:$AF$15,0)),"")</f>
        <v>Urban</v>
      </c>
      <c r="B12" s="47" t="str">
        <f>IFERROR(INDEX('G-8 Condition Look up'!$I$4:$I$130,MATCH(G12,'G-8 Condition Look up'!$A$4:$A$130,0)),"")</f>
        <v>Cond2</v>
      </c>
      <c r="D12" s="77">
        <v>2</v>
      </c>
      <c r="E12" s="340" t="s">
        <v>74</v>
      </c>
      <c r="F12" s="79" t="s">
        <v>599</v>
      </c>
      <c r="G12" s="69" t="str">
        <f>IFERROR(INDEX('G-1 All Habitats'!$B$3:$B$129,MATCH(F12,'G-1 All Habitats'!$A$3:$A$129,0)),"")</f>
        <v>Urban - Developed land; sealed surface</v>
      </c>
      <c r="H12" s="70">
        <v>0.13</v>
      </c>
      <c r="I12" s="497" t="str">
        <f>IF(G12="","",VLOOKUP(G12,'G-1 All Habitats'!$B$2:$M$129,10,FALSE))</f>
        <v>V.Low</v>
      </c>
      <c r="J12" s="498">
        <f>IFERROR(VLOOKUP(I12,'G-1 All Habitats'!$V$3:$W$7,2,FALSE),"")</f>
        <v>0</v>
      </c>
      <c r="K12" s="71" t="s">
        <v>407</v>
      </c>
      <c r="L12" s="498">
        <f>IFERROR(INDEX('G-8 Condition Look up'!$A$3:$H$130,MATCH(G12,'G-8 Condition Look up'!$A$3:$A$130,0),MATCH(K12,'G-8 Condition Look up'!$A$3:$H$3,0)),"")</f>
        <v>0</v>
      </c>
      <c r="M12" s="71" t="s">
        <v>921</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Compensation Not Required</v>
      </c>
      <c r="Q12" s="512">
        <f>IFERROR(IF(P12="","",IF(AND(P12='G-1 All Habitats'!$X$3,T12&gt;0),U12+V12,IF(AND(P12='G-1 All Habitats'!$X$3,S12&gt;0),U12+V12,IF(AND(P12='G-1 All Habitats'!$X$3,AC12&gt;0),"Any Loss Unacceptable ▲",IF(AND(P12='G-1 All Habitats'!$X$3,W12&gt;0),"Any Loss Unacceptable ▲",H12*J12*L12*O12))))),"Check Data ▲")</f>
        <v>0</v>
      </c>
      <c r="R12" s="50"/>
      <c r="S12" s="71"/>
      <c r="T12" s="72"/>
      <c r="U12" s="510">
        <f>IFERROR(S12*J12*L12*O12,"")</f>
        <v>0</v>
      </c>
      <c r="V12" s="510">
        <f>IFERROR(T12*J12*L12*O12,"")</f>
        <v>0</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0.13</v>
      </c>
      <c r="X12" s="514">
        <f>IFERROR(IF(H12="","",IF(H12-S12-T12=0&lt;0,"Error in Areas ▲",IF(S12+T12&gt;H12,"Error in Areas ▲",IF(AND(P12='G-1 All Habitats'!$X$3,Y12="Yes"),"Alternative Compensation ✓",IF(W12=0,0,IF(P12='G-1 All Habitats'!$X$3,"Unacceptable Loss ▲",Q12-U12-V12)))))),"Check Data ▲")</f>
        <v>0</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42.75" x14ac:dyDescent="0.2">
      <c r="A13" s="47" t="str">
        <f>IFERROR(INDEX('G-1 All Habitats'!$AG$3:$AG$15,MATCH(E13,'G-1 All Habitats'!$AF$3:$AF$15,0)),"")</f>
        <v>Urban</v>
      </c>
      <c r="B13" s="47" t="str">
        <f>IFERROR(INDEX('G-8 Condition Look up'!$I$4:$I$130,MATCH(G13,'G-8 Condition Look up'!$A$4:$A$130,0)),"")</f>
        <v>Cond4</v>
      </c>
      <c r="D13" s="77">
        <v>3</v>
      </c>
      <c r="E13" s="340" t="s">
        <v>74</v>
      </c>
      <c r="F13" s="79" t="s">
        <v>627</v>
      </c>
      <c r="G13" s="69" t="str">
        <f>IFERROR(INDEX('G-1 All Habitats'!$B$3:$B$129,MATCH(F13,'G-1 All Habitats'!$A$3:$A$129,0)),"")</f>
        <v>Urban - Urban Tree</v>
      </c>
      <c r="H13" s="70">
        <v>9.7699999999999995E-2</v>
      </c>
      <c r="I13" s="497" t="str">
        <f>IF(G13="","",VLOOKUP(G13,'G-1 All Habitats'!$B$2:$M$129,10,FALSE))</f>
        <v>Medium</v>
      </c>
      <c r="J13" s="498">
        <f>IFERROR(VLOOKUP(I13,'G-1 All Habitats'!$V$3:$W$7,2,FALSE),"")</f>
        <v>4</v>
      </c>
      <c r="K13" s="71" t="s">
        <v>20</v>
      </c>
      <c r="L13" s="498">
        <f>IFERROR(INDEX('G-8 Condition Look up'!$A$3:$H$130,MATCH(G13,'G-8 Condition Look up'!$A$3:$A$130,0),MATCH(K13,'G-8 Condition Look up'!$A$3:$H$3,0)),"")</f>
        <v>2</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broad habitat or a higher distinctiveness habitat required (≥)</v>
      </c>
      <c r="Q13" s="512">
        <f>IFERROR(IF(P13="","",IF(AND(P13='G-1 All Habitats'!$X$3,T13&gt;0),U13+V13,IF(AND(P13='G-1 All Habitats'!$X$3,S13&gt;0),U13+V13,IF(AND(P13='G-1 All Habitats'!$X$3,AC13&gt;0),"Any Loss Unacceptable ▲",IF(AND(P13='G-1 All Habitats'!$X$3,W13&gt;0),"Any Loss Unacceptable ▲",H13*J13*L13*O13))))),"Check Data ▲")</f>
        <v>0.78159999999999996</v>
      </c>
      <c r="R13" s="50"/>
      <c r="S13" s="71">
        <v>4.8800000000000003E-2</v>
      </c>
      <c r="T13" s="72"/>
      <c r="U13" s="510">
        <f t="shared" ref="U13:U76" si="3">IFERROR(S13*J13*L13*O13,"")</f>
        <v>0.39040000000000002</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4.8899999999999992E-2</v>
      </c>
      <c r="X13" s="514">
        <f>IFERROR(IF(H13="","",IF(H13-S13-T13=0&lt;0,"Error in Areas ▲",IF(S13+T13&gt;H13,"Error in Areas ▲",IF(AND(P13='G-1 All Habitats'!$X$3,Y13="Yes"),"Alternative Compensation ✓",IF(W13=0,0,IF(P13='G-1 All Habitats'!$X$3,"Unacceptable Loss ▲",Q13-U13-V13)))))),"Check Data ▲")</f>
        <v>0.39119999999999994</v>
      </c>
      <c r="Y13" s="72"/>
      <c r="Z13" s="80"/>
      <c r="AA13" s="81"/>
      <c r="AC13" s="75" t="str">
        <f>IF(P13="","",IF(P13='G-1 All Habitats'!$X$3,H13-S13-T13,"None"))</f>
        <v>None</v>
      </c>
      <c r="AD13" s="76" t="str">
        <f>IFERROR(AC13*J13*L13*#REF!*O13,IF(P13="","","None"))</f>
        <v>None</v>
      </c>
      <c r="AF13" s="54" t="b">
        <f t="shared" si="0"/>
        <v>1</v>
      </c>
      <c r="AG13" s="54" t="b">
        <f t="shared" si="1"/>
        <v>0</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x14ac:dyDescent="0.25">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25">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25">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25">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5">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5">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5">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5">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5">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5">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5">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5">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5">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5">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5">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5">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5">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5">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5">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5">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5">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5">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5">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5">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5">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5">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5">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5">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5">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5">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5">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5">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5">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5">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5">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5">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5">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5">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5">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5">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5">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5">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5">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5">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5">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5">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5">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5">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5">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5">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5">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5">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5">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5">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5">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5">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5">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5">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5">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5">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5">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5">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5">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5">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5">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5">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5">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5">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5">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5">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5">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5">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5">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5">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5">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5">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5">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5">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5">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5">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5">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5">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5">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5">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5">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5">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5">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5">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5">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5">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5">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5">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5">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5">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5">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5">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5">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5">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5">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5">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5">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5">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5">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5">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5">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5">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5">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5">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5">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5">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5">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5">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5">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5">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5">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5">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5">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5">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5">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5">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5">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5">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5">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5">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5">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5">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5">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5">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5">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5">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5">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5">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5">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5">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5">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5">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5">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5">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5">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5">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5">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5">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5">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5">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5">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5">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5">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5">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5">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5">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5">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5">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5">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5">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5">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5">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5">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5">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5">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5">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5">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5">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5">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5">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5">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5">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5">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5">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5">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5">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5">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5">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5">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5">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5">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5">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5">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5">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5">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5">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5">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5">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5">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5">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5">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5">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5">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5">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5">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5">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5">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5">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5">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5">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5">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5">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5">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5">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5">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5">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5">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5">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5">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5">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5">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5">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5">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5">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5">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5">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5">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5">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5">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5">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5">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5">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5">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5">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5">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5">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5">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5">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5">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5">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5">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5">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5">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5">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5">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5">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5">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5">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5">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5">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5">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5">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5">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5">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5">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5">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5">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5">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5">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5">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75" thickBot="1" x14ac:dyDescent="0.3">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75" thickBot="1" x14ac:dyDescent="0.3">
      <c r="F259" s="501" t="s">
        <v>223</v>
      </c>
      <c r="H259" s="502">
        <f>SUM(H9:H256)</f>
        <v>0.44769999999999999</v>
      </c>
      <c r="N259" s="50"/>
      <c r="P259" s="444"/>
      <c r="Q259" s="513">
        <f>IF('Detailed Results'!$K$40&gt;0,"Error",SUM(Q11:Q258))</f>
        <v>1.2216</v>
      </c>
      <c r="R259" s="85"/>
      <c r="S259" s="516">
        <f>IF('Detailed Results'!$K$40&gt;0,"Error",SUM(S11:S258))</f>
        <v>4.8800000000000003E-2</v>
      </c>
      <c r="T259" s="517">
        <f>IF('Detailed Results'!$K$40&gt;0,"Error",SUM(T11:T258))</f>
        <v>0</v>
      </c>
      <c r="U259" s="517">
        <f>IF('Detailed Results'!$K$40&gt;0,"Error",SUM(U11:U258))</f>
        <v>0.39040000000000002</v>
      </c>
      <c r="V259" s="517">
        <f>IF('Detailed Results'!$K$40&gt;0,"Error",SUM(V11:V258))</f>
        <v>0</v>
      </c>
      <c r="W259" s="517">
        <f>IF('Detailed Results'!$K$40&gt;0,"Error",SUM(W11:W258))</f>
        <v>0.39889999999999998</v>
      </c>
      <c r="X259" s="513">
        <f>IF('Detailed Results'!$K$40&gt;0,"Error",SUM(X11:X258))</f>
        <v>0.83119999999999994</v>
      </c>
      <c r="AQ259" s="55">
        <f>SUM(AQ11:AQ258)</f>
        <v>0</v>
      </c>
    </row>
    <row r="260" spans="1:43" ht="28.5" customHeight="1" thickBot="1" x14ac:dyDescent="0.3">
      <c r="F260" s="457"/>
      <c r="P260" s="48"/>
      <c r="Y260" s="86"/>
    </row>
    <row r="261" spans="1:43" ht="38.25" customHeight="1" thickBot="1" x14ac:dyDescent="0.3">
      <c r="D261" s="48"/>
      <c r="E261" s="48"/>
      <c r="F261" s="48"/>
      <c r="G261" s="48"/>
      <c r="H261" s="48"/>
      <c r="S261" s="887" t="s">
        <v>224</v>
      </c>
      <c r="T261" s="888"/>
      <c r="U261" s="888"/>
      <c r="V261" s="889"/>
      <c r="W261" s="502">
        <f>IF('Detailed Results'!$K$40&gt;0,"Error",SUMIFS($W$11:$W$258,$G$11:$G$258,"&lt;&gt;"&amp;'G-1 All Habitats'!B65,$G$11:$G$258,"&lt;&gt;"&amp;'G-1 All Habitats'!B66,$G$11:$G$258,"&lt;&gt;"&amp;'G-1 All Habitats'!B73))</f>
        <v>0.35</v>
      </c>
    </row>
    <row r="262" spans="1:43" x14ac:dyDescent="0.25">
      <c r="D262" s="48"/>
      <c r="E262" s="48"/>
    </row>
    <row r="263" spans="1:43" x14ac:dyDescent="0.25">
      <c r="D263" s="48"/>
      <c r="E263" s="48"/>
      <c r="F263" s="48"/>
      <c r="G263" s="48"/>
      <c r="H263" s="48"/>
      <c r="I263" s="48"/>
      <c r="J263" s="48"/>
      <c r="K263" s="48"/>
      <c r="L263" s="48"/>
      <c r="M263" s="48"/>
      <c r="N263" s="48"/>
      <c r="O263" s="48"/>
    </row>
    <row r="264" spans="1:43" x14ac:dyDescent="0.25">
      <c r="D264" s="48"/>
      <c r="E264" s="48"/>
      <c r="F264" s="48"/>
      <c r="G264" s="48"/>
      <c r="H264" s="48"/>
      <c r="I264" s="48"/>
      <c r="J264" s="48"/>
      <c r="K264" s="48"/>
      <c r="L264" s="48"/>
      <c r="M264" s="48"/>
      <c r="N264" s="48"/>
      <c r="O264" s="48"/>
    </row>
    <row r="265" spans="1:43" x14ac:dyDescent="0.25">
      <c r="D265" s="48"/>
      <c r="E265" s="48"/>
      <c r="F265" s="48"/>
      <c r="G265" s="48"/>
      <c r="H265" s="48"/>
      <c r="I265" s="48"/>
      <c r="J265" s="48"/>
      <c r="K265" s="48"/>
      <c r="L265" s="48"/>
      <c r="M265" s="48"/>
      <c r="N265" s="48"/>
      <c r="O265" s="48"/>
    </row>
    <row r="275" x14ac:dyDescent="0.2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CAD</cp:lastModifiedBy>
  <cp:revision/>
  <dcterms:created xsi:type="dcterms:W3CDTF">2018-04-09T09:41:18Z</dcterms:created>
  <dcterms:modified xsi:type="dcterms:W3CDTF">2022-11-28T10:24:02Z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